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C:\Users\97152\OneDrive\Desktop\WhitePrint\"/>
    </mc:Choice>
  </mc:AlternateContent>
  <xr:revisionPtr revIDLastSave="0" documentId="13_ncr:1_{23B37D10-FCB1-4B42-A342-B172976FFFB3}" xr6:coauthVersionLast="47" xr6:coauthVersionMax="47" xr10:uidLastSave="{00000000-0000-0000-0000-000000000000}"/>
  <bookViews>
    <workbookView xWindow="-108" yWindow="-108" windowWidth="23256" windowHeight="12456" xr2:uid="{C07F3E46-2A80-4680-8472-F881E93AF2AC}"/>
  </bookViews>
  <sheets>
    <sheet name="Dashboard" sheetId="17" r:id="rId1"/>
    <sheet name="Model" sheetId="15" r:id="rId2"/>
    <sheet name="Scenarios" sheetId="1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4" i="15" l="1"/>
  <c r="H66" i="15"/>
  <c r="H67" i="15"/>
  <c r="B5" i="17" a="1"/>
  <c r="B5" i="17" s="1"/>
  <c r="B3" i="15" s="1"/>
  <c r="B19" i="17"/>
  <c r="B21" i="17"/>
  <c r="E18" i="17"/>
  <c r="D18" i="17"/>
  <c r="B18" i="17"/>
  <c r="C18" i="17"/>
  <c r="G93" i="15"/>
  <c r="F93" i="15"/>
  <c r="E93" i="15"/>
  <c r="D93" i="15"/>
  <c r="C93" i="15"/>
  <c r="G92" i="15"/>
  <c r="F92" i="15"/>
  <c r="E92" i="15"/>
  <c r="D92" i="15"/>
  <c r="C92" i="15"/>
  <c r="G91" i="15"/>
  <c r="F91" i="15"/>
  <c r="E91" i="15"/>
  <c r="D91" i="15"/>
  <c r="C91" i="15"/>
  <c r="G90" i="15"/>
  <c r="F90" i="15"/>
  <c r="E90" i="15"/>
  <c r="D90" i="15"/>
  <c r="C90" i="15"/>
  <c r="G89" i="15"/>
  <c r="F89" i="15"/>
  <c r="E89" i="15"/>
  <c r="D89" i="15"/>
  <c r="C89" i="15"/>
  <c r="G88" i="15"/>
  <c r="F88" i="15"/>
  <c r="E88" i="15"/>
  <c r="D88" i="15"/>
  <c r="C88" i="15"/>
  <c r="G87" i="15"/>
  <c r="F87" i="15"/>
  <c r="E87" i="15"/>
  <c r="D87" i="15"/>
  <c r="C87" i="15"/>
  <c r="G86" i="15"/>
  <c r="F86" i="15"/>
  <c r="E86" i="15"/>
  <c r="D86" i="15"/>
  <c r="C86" i="15"/>
  <c r="G85" i="15"/>
  <c r="F85" i="15"/>
  <c r="E85" i="15"/>
  <c r="D85" i="15"/>
  <c r="C85" i="15"/>
  <c r="G84" i="15"/>
  <c r="F84" i="15"/>
  <c r="E84" i="15"/>
  <c r="D84" i="15"/>
  <c r="C84" i="15"/>
  <c r="G83" i="15"/>
  <c r="F83" i="15"/>
  <c r="E83" i="15"/>
  <c r="D83" i="15"/>
  <c r="C83" i="15"/>
  <c r="I5" i="17"/>
  <c r="H121" i="15"/>
  <c r="G121" i="15"/>
  <c r="F121" i="15"/>
  <c r="E121" i="15"/>
  <c r="D121" i="15"/>
  <c r="C121" i="15"/>
  <c r="B121" i="15"/>
  <c r="H120" i="15"/>
  <c r="G120" i="15"/>
  <c r="F120" i="15"/>
  <c r="E120" i="15"/>
  <c r="D120" i="15"/>
  <c r="C120" i="15"/>
  <c r="B120" i="15"/>
  <c r="H119" i="15"/>
  <c r="G119" i="15"/>
  <c r="F119" i="15"/>
  <c r="E119" i="15"/>
  <c r="D119" i="15"/>
  <c r="C119" i="15"/>
  <c r="B119" i="15"/>
  <c r="H118" i="15"/>
  <c r="G118" i="15"/>
  <c r="F118" i="15"/>
  <c r="E118" i="15"/>
  <c r="D118" i="15"/>
  <c r="C118" i="15"/>
  <c r="B118" i="15"/>
  <c r="B4" i="17"/>
  <c r="G29" i="15"/>
  <c r="G30" i="15" s="1"/>
  <c r="F29" i="15"/>
  <c r="F30" i="15" s="1"/>
  <c r="E29" i="15"/>
  <c r="E30" i="15" s="1"/>
  <c r="D29" i="15"/>
  <c r="D30" i="15" s="1"/>
  <c r="C29" i="15"/>
  <c r="C30" i="15" s="1"/>
  <c r="G27" i="15"/>
  <c r="G57" i="15" s="1"/>
  <c r="F27" i="15"/>
  <c r="F57" i="15" s="1"/>
  <c r="E27" i="15"/>
  <c r="E57" i="15" s="1"/>
  <c r="D27" i="15"/>
  <c r="D57" i="15" s="1"/>
  <c r="C27" i="15"/>
  <c r="C57" i="15" s="1"/>
  <c r="E52" i="17"/>
  <c r="D52" i="17"/>
  <c r="C52" i="17"/>
  <c r="B52" i="17"/>
  <c r="E50" i="17"/>
  <c r="D50" i="17"/>
  <c r="C50" i="17"/>
  <c r="B50" i="17"/>
  <c r="E49" i="17"/>
  <c r="D49" i="17"/>
  <c r="C49" i="17"/>
  <c r="B49" i="17"/>
  <c r="E48" i="17"/>
  <c r="D48" i="17"/>
  <c r="C48" i="17"/>
  <c r="B48" i="17"/>
  <c r="E47" i="17"/>
  <c r="D47" i="17"/>
  <c r="C47" i="17"/>
  <c r="B47" i="17"/>
  <c r="E27" i="17"/>
  <c r="D27" i="17"/>
  <c r="C27" i="17"/>
  <c r="B27" i="17"/>
  <c r="E25" i="17"/>
  <c r="D25" i="17"/>
  <c r="C25" i="17"/>
  <c r="B25" i="17"/>
  <c r="E21" i="17"/>
  <c r="D21" i="17"/>
  <c r="C21" i="17"/>
  <c r="E19" i="17"/>
  <c r="D19" i="17"/>
  <c r="C19" i="17"/>
  <c r="J11" i="17"/>
  <c r="I11" i="17"/>
  <c r="H11" i="17"/>
  <c r="G11" i="17"/>
  <c r="J10" i="17"/>
  <c r="I10" i="17"/>
  <c r="H10" i="17"/>
  <c r="G10" i="17"/>
  <c r="J9" i="17"/>
  <c r="I9" i="17"/>
  <c r="H9" i="17"/>
  <c r="G9" i="17"/>
  <c r="J6" i="17"/>
  <c r="I6" i="17"/>
  <c r="H6" i="17"/>
  <c r="G6" i="17"/>
  <c r="G100" i="15"/>
  <c r="G99" i="15"/>
  <c r="G98" i="15"/>
  <c r="G97" i="15"/>
  <c r="B100" i="15"/>
  <c r="B99" i="15"/>
  <c r="B98" i="15"/>
  <c r="B97" i="15"/>
  <c r="F107" i="15"/>
  <c r="E107" i="15"/>
  <c r="D107" i="15"/>
  <c r="H37" i="16"/>
  <c r="G37" i="16"/>
  <c r="F37" i="16"/>
  <c r="E37" i="16"/>
  <c r="D37" i="16"/>
  <c r="C37" i="16"/>
  <c r="H36" i="16"/>
  <c r="G36" i="16"/>
  <c r="F36" i="16"/>
  <c r="E36" i="16"/>
  <c r="D36" i="16"/>
  <c r="C36" i="16"/>
  <c r="H34" i="16"/>
  <c r="G34" i="16"/>
  <c r="F34" i="16"/>
  <c r="E34" i="16"/>
  <c r="D34" i="16"/>
  <c r="D40" i="16" s="1"/>
  <c r="D42" i="16" s="1"/>
  <c r="C34" i="16"/>
  <c r="C40" i="16" s="1"/>
  <c r="H33" i="16"/>
  <c r="G33" i="16"/>
  <c r="F33" i="16"/>
  <c r="E33" i="16"/>
  <c r="D33" i="16"/>
  <c r="C33" i="16"/>
  <c r="C41" i="16" s="1"/>
  <c r="H32" i="16"/>
  <c r="G32" i="16"/>
  <c r="F32" i="16"/>
  <c r="E32" i="16"/>
  <c r="B8" i="15"/>
  <c r="C46" i="15"/>
  <c r="B58" i="15"/>
  <c r="C56" i="15"/>
  <c r="C52" i="15"/>
  <c r="D52" i="15" s="1"/>
  <c r="E52" i="15" s="1"/>
  <c r="F52" i="15" s="1"/>
  <c r="G52" i="15" s="1"/>
  <c r="B36" i="15"/>
  <c r="B35" i="15"/>
  <c r="B34" i="15"/>
  <c r="B30" i="15"/>
  <c r="B28" i="15"/>
  <c r="B16" i="15"/>
  <c r="B14" i="15"/>
  <c r="B21" i="16"/>
  <c r="B8" i="17" l="1"/>
  <c r="B7" i="17"/>
  <c r="C58" i="15"/>
  <c r="F109" i="15"/>
  <c r="E109" i="15"/>
  <c r="D109" i="15"/>
  <c r="C109" i="15"/>
  <c r="H41" i="16"/>
  <c r="H43" i="16" s="1"/>
  <c r="G41" i="16"/>
  <c r="G43" i="16" s="1"/>
  <c r="F41" i="16"/>
  <c r="F43" i="16" s="1"/>
  <c r="E41" i="16"/>
  <c r="E43" i="16" s="1"/>
  <c r="D41" i="16"/>
  <c r="D43" i="16" s="1"/>
  <c r="H40" i="16"/>
  <c r="H42" i="16" s="1"/>
  <c r="G40" i="16"/>
  <c r="G42" i="16" s="1"/>
  <c r="F40" i="16"/>
  <c r="F42" i="16" s="1"/>
  <c r="E40" i="16"/>
  <c r="E42" i="16" s="1"/>
  <c r="B74" i="15"/>
  <c r="G28" i="15"/>
  <c r="G31" i="15"/>
  <c r="F28" i="15"/>
  <c r="F31" i="15"/>
  <c r="E28" i="15"/>
  <c r="E31" i="15"/>
  <c r="D28" i="15"/>
  <c r="D31" i="15"/>
  <c r="C28" i="15"/>
  <c r="C31" i="15"/>
  <c r="D46" i="15"/>
  <c r="D56" i="15"/>
  <c r="B42" i="15"/>
  <c r="C36" i="15"/>
  <c r="B41" i="15"/>
  <c r="C35" i="15"/>
  <c r="B40" i="15"/>
  <c r="B37" i="15"/>
  <c r="C34" i="15"/>
  <c r="E46" i="15" l="1"/>
  <c r="E56" i="15"/>
  <c r="D58" i="15"/>
  <c r="D36" i="15"/>
  <c r="C42" i="15"/>
  <c r="D35" i="15"/>
  <c r="C41" i="15"/>
  <c r="D34" i="15"/>
  <c r="C37" i="15"/>
  <c r="C40" i="15"/>
  <c r="B43" i="15"/>
  <c r="B47" i="15" s="1"/>
  <c r="B48" i="15" s="1"/>
  <c r="F106" i="15" l="1"/>
  <c r="E106" i="15"/>
  <c r="D106" i="15"/>
  <c r="C106" i="15"/>
  <c r="F46" i="15"/>
  <c r="F56" i="15"/>
  <c r="E58" i="15"/>
  <c r="E36" i="15"/>
  <c r="D42" i="15"/>
  <c r="D41" i="15"/>
  <c r="E35" i="15"/>
  <c r="E34" i="15"/>
  <c r="D37" i="15"/>
  <c r="D40" i="15"/>
  <c r="B53" i="15"/>
  <c r="B54" i="15" s="1"/>
  <c r="B55" i="15" s="1"/>
  <c r="B59" i="15" s="1"/>
  <c r="B60" i="15" s="1"/>
  <c r="B49" i="15"/>
  <c r="C43" i="15"/>
  <c r="C100" i="15" l="1"/>
  <c r="C97" i="15"/>
  <c r="C98" i="15"/>
  <c r="C99" i="15"/>
  <c r="F108" i="15"/>
  <c r="F110" i="15" s="1"/>
  <c r="F111" i="15" s="1"/>
  <c r="E99" i="15" s="1"/>
  <c r="E108" i="15"/>
  <c r="E110" i="15" s="1"/>
  <c r="E111" i="15" s="1"/>
  <c r="E97" i="15" s="1"/>
  <c r="D108" i="15"/>
  <c r="D110" i="15" s="1"/>
  <c r="D111" i="15" s="1"/>
  <c r="E100" i="15" s="1"/>
  <c r="C108" i="15"/>
  <c r="C110" i="15" s="1"/>
  <c r="C111" i="15" s="1"/>
  <c r="E98" i="15" s="1"/>
  <c r="C47" i="15"/>
  <c r="C48" i="15" s="1"/>
  <c r="G46" i="15"/>
  <c r="D43" i="15"/>
  <c r="G56" i="15"/>
  <c r="G58" i="15" s="1"/>
  <c r="F58" i="15"/>
  <c r="F36" i="15"/>
  <c r="E42" i="15"/>
  <c r="F35" i="15"/>
  <c r="E41" i="15"/>
  <c r="F34" i="15"/>
  <c r="E37" i="15"/>
  <c r="E40" i="15"/>
  <c r="H8" i="17" l="1"/>
  <c r="E22" i="17"/>
  <c r="J8" i="17"/>
  <c r="D22" i="17"/>
  <c r="C22" i="17"/>
  <c r="G8" i="17"/>
  <c r="B22" i="17"/>
  <c r="I8" i="17"/>
  <c r="D47" i="15"/>
  <c r="D48" i="15" s="1"/>
  <c r="E43" i="15"/>
  <c r="G36" i="15"/>
  <c r="G42" i="15" s="1"/>
  <c r="F42" i="15"/>
  <c r="F41" i="15"/>
  <c r="G35" i="15"/>
  <c r="G41" i="15" s="1"/>
  <c r="G34" i="15"/>
  <c r="F37" i="15"/>
  <c r="F40" i="15"/>
  <c r="C49" i="15"/>
  <c r="C53" i="15"/>
  <c r="C54" i="15" s="1"/>
  <c r="C55" i="15" s="1"/>
  <c r="C59" i="15" s="1"/>
  <c r="D53" i="15" l="1"/>
  <c r="D54" i="15" s="1"/>
  <c r="D55" i="15" s="1"/>
  <c r="D59" i="15" s="1"/>
  <c r="D49" i="15"/>
  <c r="E47" i="15"/>
  <c r="E48" i="15" s="1"/>
  <c r="G37" i="15"/>
  <c r="G40" i="15"/>
  <c r="G43" i="15" s="1"/>
  <c r="F43" i="15"/>
  <c r="C64" i="15" l="1"/>
  <c r="D60" i="15"/>
  <c r="E49" i="15"/>
  <c r="E53" i="15"/>
  <c r="E54" i="15" s="1"/>
  <c r="E55" i="15" s="1"/>
  <c r="E59" i="15" s="1"/>
  <c r="G47" i="15"/>
  <c r="G48" i="15" s="1"/>
  <c r="F47" i="15"/>
  <c r="F48" i="15" s="1"/>
  <c r="C60" i="15"/>
  <c r="B64" i="15"/>
  <c r="D64" i="15" l="1"/>
  <c r="E60" i="15"/>
  <c r="F49" i="15"/>
  <c r="F53" i="15"/>
  <c r="F54" i="15" s="1"/>
  <c r="F55" i="15" s="1"/>
  <c r="F59" i="15" s="1"/>
  <c r="G53" i="15"/>
  <c r="G54" i="15" s="1"/>
  <c r="G55" i="15" s="1"/>
  <c r="G59" i="15" s="1"/>
  <c r="G49" i="15"/>
  <c r="D39" i="17" l="1"/>
  <c r="B42" i="17"/>
  <c r="F36" i="17"/>
  <c r="D37" i="17"/>
  <c r="C41" i="17"/>
  <c r="E37" i="17"/>
  <c r="F39" i="17"/>
  <c r="D40" i="17"/>
  <c r="E41" i="17"/>
  <c r="C42" i="17"/>
  <c r="F41" i="17"/>
  <c r="E42" i="17"/>
  <c r="D33" i="17"/>
  <c r="D42" i="17"/>
  <c r="C33" i="17"/>
  <c r="B33" i="17"/>
  <c r="E33" i="17"/>
  <c r="E36" i="17"/>
  <c r="B37" i="17"/>
  <c r="C37" i="17"/>
  <c r="F37" i="17"/>
  <c r="B39" i="17"/>
  <c r="C35" i="17"/>
  <c r="D35" i="17"/>
  <c r="E35" i="17"/>
  <c r="F35" i="17"/>
  <c r="B36" i="17"/>
  <c r="D36" i="17"/>
  <c r="B38" i="17"/>
  <c r="D38" i="17"/>
  <c r="F38" i="17"/>
  <c r="E39" i="17"/>
  <c r="B40" i="17"/>
  <c r="F42" i="17"/>
  <c r="C38" i="17"/>
  <c r="C39" i="17"/>
  <c r="E40" i="17"/>
  <c r="B41" i="17"/>
  <c r="E38" i="17"/>
  <c r="C40" i="17"/>
  <c r="F40" i="17"/>
  <c r="D41" i="17"/>
  <c r="B34" i="17"/>
  <c r="D34" i="17"/>
  <c r="F34" i="17"/>
  <c r="C36" i="17"/>
  <c r="F33" i="17"/>
  <c r="C34" i="17"/>
  <c r="E34" i="17"/>
  <c r="B35" i="17"/>
  <c r="E64" i="15"/>
  <c r="F60" i="15"/>
  <c r="G60" i="15"/>
  <c r="F64" i="15"/>
  <c r="G64" i="15" l="1"/>
  <c r="B70" i="15" l="1"/>
  <c r="B17" i="15" l="1"/>
  <c r="B66" i="15" l="1"/>
  <c r="B67" i="15" s="1"/>
  <c r="C66" i="15"/>
  <c r="C67" i="15" s="1"/>
  <c r="B71" i="15"/>
  <c r="B72" i="15" s="1"/>
  <c r="E66" i="15"/>
  <c r="E67" i="15" s="1"/>
  <c r="D66" i="15"/>
  <c r="D67" i="15" s="1"/>
  <c r="G66" i="15"/>
  <c r="G67" i="15" s="1"/>
  <c r="F66" i="15"/>
  <c r="F67" i="15" s="1"/>
  <c r="D100" i="15"/>
  <c r="D98" i="15"/>
  <c r="D99" i="15"/>
  <c r="D97" i="15"/>
  <c r="D112" i="15" l="1"/>
  <c r="D113" i="15" s="1"/>
  <c r="E54" i="17" s="1"/>
  <c r="E53" i="17"/>
  <c r="H5" i="17"/>
  <c r="H7" i="17" s="1"/>
  <c r="F100" i="15"/>
  <c r="E26" i="17"/>
  <c r="E24" i="17"/>
  <c r="F112" i="15"/>
  <c r="F113" i="15" s="1"/>
  <c r="D54" i="17" s="1"/>
  <c r="D53" i="17"/>
  <c r="J5" i="17"/>
  <c r="J7" i="17" s="1"/>
  <c r="D24" i="17"/>
  <c r="D26" i="17"/>
  <c r="F99" i="15"/>
  <c r="C112" i="15"/>
  <c r="C113" i="15" s="1"/>
  <c r="C54" i="17" s="1"/>
  <c r="F98" i="15"/>
  <c r="C53" i="17"/>
  <c r="C24" i="17"/>
  <c r="C26" i="17"/>
  <c r="G5" i="17"/>
  <c r="B53" i="17"/>
  <c r="F97" i="15"/>
  <c r="B26" i="17"/>
  <c r="B24" i="17"/>
  <c r="B69" i="15"/>
  <c r="B73" i="15" s="1"/>
  <c r="C57" i="17" s="1"/>
  <c r="D101" i="15"/>
  <c r="E112" i="15"/>
  <c r="E113" i="15" s="1"/>
  <c r="B54" i="17" s="1"/>
  <c r="G14" i="17" l="1"/>
  <c r="G7" i="17"/>
  <c r="C28" i="17"/>
  <c r="B9" i="17"/>
  <c r="B75" i="15"/>
  <c r="B76" i="15" s="1"/>
  <c r="I7" i="17" s="1"/>
  <c r="B79" i="15"/>
  <c r="C59" i="17" s="1"/>
  <c r="B78" i="15"/>
  <c r="C58" i="1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<sst xmlns="http://schemas.openxmlformats.org/spreadsheetml/2006/main" count="296" uniqueCount="205">
  <si>
    <t>Scenario</t>
  </si>
  <si>
    <t>$75/bbl</t>
  </si>
  <si>
    <t>WACC</t>
  </si>
  <si>
    <t>$B</t>
  </si>
  <si>
    <t>2025A</t>
  </si>
  <si>
    <t>2026E</t>
  </si>
  <si>
    <t>2027E</t>
  </si>
  <si>
    <t>2028E</t>
  </si>
  <si>
    <t>2029E</t>
  </si>
  <si>
    <t>2030E</t>
  </si>
  <si>
    <t>Operating Cash Flow ($B)</t>
  </si>
  <si>
    <t>Enterprise Value ($B)</t>
  </si>
  <si>
    <t>Equity Value ($B)</t>
  </si>
  <si>
    <t>Shares Outstanding (M)</t>
  </si>
  <si>
    <t>$60/bbl</t>
  </si>
  <si>
    <t>$80/bbl</t>
  </si>
  <si>
    <t>Metric</t>
  </si>
  <si>
    <t>WTI Oil ($/bbl)</t>
  </si>
  <si>
    <t>Henry Hub Gas ($/mcf)</t>
  </si>
  <si>
    <t>Total Production (Mboed)</t>
  </si>
  <si>
    <t>Total Cash OpEx ($B)</t>
  </si>
  <si>
    <t>EBITDA ($B)</t>
  </si>
  <si>
    <t xml:space="preserve">  EBITDA Margin</t>
  </si>
  <si>
    <t>D&amp;A ($B)</t>
  </si>
  <si>
    <t>EBIT ($B)</t>
  </si>
  <si>
    <t>Cash Tax ($B)</t>
  </si>
  <si>
    <t>Maintenance Capex ($B)</t>
  </si>
  <si>
    <t>Growth Capex ($B)</t>
  </si>
  <si>
    <t>Total Capex ($B)</t>
  </si>
  <si>
    <t>Unlevered FCF ($B)</t>
  </si>
  <si>
    <t xml:space="preserve">  FCF Margin</t>
  </si>
  <si>
    <t>Net Debt ($B)</t>
  </si>
  <si>
    <t>2031E</t>
  </si>
  <si>
    <t>2032E</t>
  </si>
  <si>
    <t>Discount Period (mid-yr)</t>
  </si>
  <si>
    <t>PV of FCF ($B)</t>
  </si>
  <si>
    <t>IMPLIED SHARE PRICE ($)</t>
  </si>
  <si>
    <t>Terminal FCF (2032E)</t>
  </si>
  <si>
    <t xml:space="preserve">  Less: Net Debt ($B)</t>
  </si>
  <si>
    <t>$50/bbl</t>
  </si>
  <si>
    <t>$55/bbl</t>
  </si>
  <si>
    <t>$65/bbl</t>
  </si>
  <si>
    <t>$85/bbl</t>
  </si>
  <si>
    <t>$95/bbl</t>
  </si>
  <si>
    <t>Market Cap ($B)</t>
  </si>
  <si>
    <t>Weight</t>
  </si>
  <si>
    <t>Cost of Equity (Ke)</t>
  </si>
  <si>
    <t>Effective Tax Rate</t>
  </si>
  <si>
    <t>Cash &amp; Equivalents ($B)</t>
  </si>
  <si>
    <t>Oil Realisation vs WTI</t>
  </si>
  <si>
    <t>Terminal Growth Rate</t>
  </si>
  <si>
    <t>$90/bbl ◄ BASE</t>
  </si>
  <si>
    <t>SCENARIO WTI PRICE PATHS ($/bbl)</t>
  </si>
  <si>
    <t>Description</t>
  </si>
  <si>
    <t>Base</t>
  </si>
  <si>
    <t>Bull</t>
  </si>
  <si>
    <t>Bear</t>
  </si>
  <si>
    <t>SCENARIO HH GAS PATHS ($/mcf)</t>
  </si>
  <si>
    <t>Oversupply; warm weather</t>
  </si>
  <si>
    <t>$90→$80; geopolitical premium to marginal cost</t>
  </si>
  <si>
    <t>$55→$62; macro demand shock</t>
  </si>
  <si>
    <t>Near-strip; EIA STEO</t>
  </si>
  <si>
    <t>PROBABILITY WEIGHTS</t>
  </si>
  <si>
    <t>Total</t>
  </si>
  <si>
    <t>OCF SENSITIVITY</t>
  </si>
  <si>
    <t>Oil OCF per $1/bbl WTI</t>
  </si>
  <si>
    <t>EOG 2026: $223M pretax</t>
  </si>
  <si>
    <t>Gas OCF per $0.10/mcf HH</t>
  </si>
  <si>
    <t>EOG 2026: $83M pretax</t>
  </si>
  <si>
    <t>NGL PRICE ($/bbl)</t>
  </si>
  <si>
    <t>All scenarios</t>
  </si>
  <si>
    <t>~28-30% of WTI; ethane mix</t>
  </si>
  <si>
    <t xml:space="preserve">  Risk-Free Rate</t>
  </si>
  <si>
    <t xml:space="preserve">  Equity Risk Premium</t>
  </si>
  <si>
    <t xml:space="preserve">  Beta</t>
  </si>
  <si>
    <t xml:space="preserve">  Equity Weight</t>
  </si>
  <si>
    <t>PRODUCTION &amp; COSTS</t>
  </si>
  <si>
    <t>Oil 2025A (Mboed)</t>
  </si>
  <si>
    <t>Gas 2025A (Mbcfd)</t>
  </si>
  <si>
    <t>NGL 2025A (Mboed)</t>
  </si>
  <si>
    <t>Oil Growth 2026E</t>
  </si>
  <si>
    <t>Oil Growth 2027-30</t>
  </si>
  <si>
    <t>Gas Growth 2026E</t>
  </si>
  <si>
    <t>NGL Growth 2026E</t>
  </si>
  <si>
    <t>Gas/NGL Growth 2027-30</t>
  </si>
  <si>
    <t>Gas Realisation vs HH</t>
  </si>
  <si>
    <t>OPERATING COSTS (2026E $/boe)</t>
  </si>
  <si>
    <t>LOE</t>
  </si>
  <si>
    <t>GP&amp;T</t>
  </si>
  <si>
    <t>Cash G&amp;A</t>
  </si>
  <si>
    <t>Maint. Capex 2026E ($B)</t>
  </si>
  <si>
    <t>Growth Capex 2026E ($B)</t>
  </si>
  <si>
    <t>Pre-Tax Cost of Debt</t>
  </si>
  <si>
    <t>After-Tax Kd</t>
  </si>
  <si>
    <t>Projection Period (yrs)</t>
  </si>
  <si>
    <t xml:space="preserve">  Realised Oil ($/bbl)</t>
  </si>
  <si>
    <t xml:space="preserve">  Realised Gas ($/mcf)</t>
  </si>
  <si>
    <t>PRODUCTION VOLUMES</t>
  </si>
  <si>
    <t>Oil (Mboed)</t>
  </si>
  <si>
    <t>Gas (Mbcfd)</t>
  </si>
  <si>
    <t>NGL (Mboed)</t>
  </si>
  <si>
    <t>REVENUE ($B)</t>
  </si>
  <si>
    <t>Oil Revenue</t>
  </si>
  <si>
    <t>Gas Revenue</t>
  </si>
  <si>
    <t>NGL Revenue</t>
  </si>
  <si>
    <t>Total Revenue</t>
  </si>
  <si>
    <t>OPERATING COSTS ($B)</t>
  </si>
  <si>
    <t>CASH FLOW ($B)</t>
  </si>
  <si>
    <t>Discount Factor</t>
  </si>
  <si>
    <t>Sum PV(FCF) — Explicit Period</t>
  </si>
  <si>
    <t>Terminal Value (GGM)</t>
  </si>
  <si>
    <t>PV of Terminal Value</t>
  </si>
  <si>
    <t>TV as % of EV (target &lt;60%)</t>
  </si>
  <si>
    <t>FCF Yield on EV (2026E)</t>
  </si>
  <si>
    <t>WTI ↓ / WACC →</t>
  </si>
  <si>
    <t>$70/bbl</t>
  </si>
  <si>
    <t>KEY VALUATION OUTPUTS</t>
  </si>
  <si>
    <t>Upside / (Downside)</t>
  </si>
  <si>
    <t>Prob-Weighted Price ($)</t>
  </si>
  <si>
    <t>Prod. Tax (% of revenue)</t>
  </si>
  <si>
    <t>Cash OpEx ex-Prod Tax ($/boe)</t>
  </si>
  <si>
    <t>NGL ($/bbl) [~22% of WTI]</t>
  </si>
  <si>
    <t>Total Debt ($B)</t>
  </si>
  <si>
    <t>SBC ($B/yr)</t>
  </si>
  <si>
    <t>Unlevered FCF ($B) [net of SBC]</t>
  </si>
  <si>
    <t>$100→$90; OPEC+ discipline + strong demand + LNG export boom</t>
  </si>
  <si>
    <t>LNG export ramp + weather premium + storage deficit</t>
  </si>
  <si>
    <t>Conflict-Up</t>
  </si>
  <si>
    <t>$95→$85; sustained geopolitical premium, prolonged supply disruption</t>
  </si>
  <si>
    <t>Mild uplift from LNG re-routing + energy security flows</t>
  </si>
  <si>
    <t>TEMPORARY SPIKE ANALYSIS</t>
  </si>
  <si>
    <t>WTI Path</t>
  </si>
  <si>
    <t>Temp Spike (1-yr)</t>
  </si>
  <si>
    <t>WTI spikes to $95 in 2026, reverts to Base from 2027+</t>
  </si>
  <si>
    <t>Sustained (Conflict-Up)</t>
  </si>
  <si>
    <t>Conflict-Up scenario row above</t>
  </si>
  <si>
    <t>Base scenario for comparison</t>
  </si>
  <si>
    <t>HH Gas (Temp Spike)</t>
  </si>
  <si>
    <t>Gas stays near Base (oil-only spike)</t>
  </si>
  <si>
    <t>HH Gas (Conflict-Up)</t>
  </si>
  <si>
    <t>Conflict-Up gas path</t>
  </si>
  <si>
    <t>SPIKE PREMIUM ANALYSIS</t>
  </si>
  <si>
    <t>Temp Spike WTI Premium ($/bbl)</t>
  </si>
  <si>
    <t>Conflict-Up WTI Premium ($/bbl)</t>
  </si>
  <si>
    <t>Temp Spike Incremental Rev ($B)</t>
  </si>
  <si>
    <t>Conflict-Up Incremental Rev ($B)</t>
  </si>
  <si>
    <t>2026E EBITDA ($B)</t>
  </si>
  <si>
    <t>Peer EV/EBITDA Multiple (x)</t>
  </si>
  <si>
    <t>Implied EV ($B)</t>
  </si>
  <si>
    <t>Implied Equity Value ($B)</t>
  </si>
  <si>
    <t>EV/EBITDA Implied Price ($)</t>
  </si>
  <si>
    <t>DCF Implied Price ($)</t>
  </si>
  <si>
    <t>EV/EBITDA vs DCF Variance</t>
  </si>
  <si>
    <t>Probability Weight</t>
  </si>
  <si>
    <t>$100/bbl</t>
  </si>
  <si>
    <t>SCENARIO COMPARISON  (2026E)</t>
  </si>
  <si>
    <t>DCF Price ($)</t>
  </si>
  <si>
    <t>EV/EBITDA Price ($)</t>
  </si>
  <si>
    <t>WTI 2026E ($/bbl)</t>
  </si>
  <si>
    <t>VALUATION CROSS-CHECK  (2026E)</t>
  </si>
  <si>
    <t>EOG RESOURCES — EQUITY VALUATION MODEL</t>
  </si>
  <si>
    <t>SECTION 2 — OPERATING MODEL</t>
  </si>
  <si>
    <t>SECTION 3 — DCF VALUATION</t>
  </si>
  <si>
    <t>SECTION 4 — WTI / WACC SENSITIVITY</t>
  </si>
  <si>
    <t>SECTION 6 — EV/EBITDA CROSS-CHECK</t>
  </si>
  <si>
    <t>Service Cost Inflation (%/yr)</t>
  </si>
  <si>
    <t>Capex Growth Rate (%/yr)</t>
  </si>
  <si>
    <t>SECTION 5 — SCENARIO SUMMARY</t>
  </si>
  <si>
    <t>FCF 2026E ($B)</t>
  </si>
  <si>
    <t>Upside / (Down)</t>
  </si>
  <si>
    <t>Prob Wt</t>
  </si>
  <si>
    <t>Probability-Weighted</t>
  </si>
  <si>
    <t>SCENARIO FCF &amp; DCF ENGINE (supports Section 5)</t>
  </si>
  <si>
    <t>FCF 2026E</t>
  </si>
  <si>
    <t>FCF 2027E</t>
  </si>
  <si>
    <t>FCF 2028E</t>
  </si>
  <si>
    <t>FCF 2029E</t>
  </si>
  <si>
    <t>FCF 2030E</t>
  </si>
  <si>
    <t>FCF 2031E</t>
  </si>
  <si>
    <t>FCF 2032E</t>
  </si>
  <si>
    <t>ACTIVE SCENARIO</t>
  </si>
  <si>
    <t>Market Price ($)</t>
  </si>
  <si>
    <t>HH Gas 2026E ($/mcf)</t>
  </si>
  <si>
    <t>EBITDA 2026E ($B)</t>
  </si>
  <si>
    <t>Active Scenario →</t>
  </si>
  <si>
    <t>Active DCF Price ($)</t>
  </si>
  <si>
    <t>WTI / WACC SENSITIVITY  —  DCF Implied Price ($)</t>
  </si>
  <si>
    <t>WTI  /  WACC →</t>
  </si>
  <si>
    <t>$55 / bbl  [Bear]</t>
  </si>
  <si>
    <t>$60 / bbl</t>
  </si>
  <si>
    <t>$65 / bbl</t>
  </si>
  <si>
    <t>$70 / bbl</t>
  </si>
  <si>
    <t>$75 / bbl</t>
  </si>
  <si>
    <t>$80 / bbl</t>
  </si>
  <si>
    <t>$85 / bbl</t>
  </si>
  <si>
    <t>$90 / bbl  [Base]</t>
  </si>
  <si>
    <t>$95 / bbl  [C-Up]</t>
  </si>
  <si>
    <t>$100 / bbl  [Bull]</t>
  </si>
  <si>
    <t>EV/EBITDA Multiple (x)</t>
  </si>
  <si>
    <t>Less: Net Debt ($B)</t>
  </si>
  <si>
    <t>EV/EBITDA vs DCF Var</t>
  </si>
  <si>
    <t>DCF Key Metrics</t>
  </si>
  <si>
    <t xml:space="preserve">  Enterprise Value ($B)</t>
  </si>
  <si>
    <t xml:space="preserve">  TV / EV</t>
  </si>
  <si>
    <t xml:space="preserve">  FCF Yield on 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</si>
</sst>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quot;$&quot;#,##0.00"/>
    <numFmt numFmtId="166" formatCode="0.0000"/>
    <numFmt numFmtId="167" formatCode="&quot;$&quot;#,##0.0"/>
    <numFmt numFmtId="168" formatCode="0.0\x"/>
    <numFmt numFmtId="169" formatCode="#,##0.0"/>
    <numFmt numFmtId="170" formatCode="0.0"/>
    <numFmt numFmtId="171" formatCode="&quot;$&quot;#,##0.000"/>
    <numFmt numFmtId="172" formatCode="&quot;$&quot;#,##0"/>
  </numFmts>
  <fonts count="21" x14ac:knownFonts="1">
    <font>
      <sz val="11"/>
      <color theme="1"/>
      <name val="Aptos Narrow"/>
      <family val="2"/>
      <scheme val="minor"/>
    </font>
    <font>
      <b/>
      <sz val="11"/>
      <color theme="1"/>
      <name val="Aptos Narrow"/>
      <family val="2"/>
      <scheme val="minor"/>
    </font>
    <font>
      <b/>
      <sz val="11"/>
      <color rgb="FFFFFFFF"/>
      <name val="Aptos Narrow"/>
      <family val="2"/>
      <scheme val="minor"/>
    </font>
    <font>
      <sz val="11"/>
      <color rgb="FF0070C0"/>
      <name val="Aptos Narrow"/>
      <family val="2"/>
      <scheme val="minor"/>
    </font>
    <font>
      <sz val="11"/>
      <color rgb="FF00B050"/>
      <name val="Aptos Narrow"/>
      <family val="2"/>
      <scheme val="minor"/>
    </font>
    <font>
      <sz val="10"/>
      <color rgb="FF000000"/>
      <name val="Calibri"/>
    </font>
    <font>
      <i/>
      <sz val="10"/>
      <color rgb="FF000000"/>
      <name val="Calibri"/>
    </font>
    <font>
      <b/>
      <sz val="10"/>
      <color rgb="FFFFFFFF"/>
      <name val="Calibri"/>
    </font>
    <font>
      <b/>
      <sz val="12"/>
      <color rgb="FFFFFFFF"/>
      <name val="Calibri"/>
    </font>
    <font>
      <sz val="10"/>
      <color rgb="FF0000FF"/>
      <name val="Calibri"/>
    </font>
    <font>
      <b/>
      <sz val="10"/>
      <color rgb="FF000000"/>
      <name val="Calibri"/>
    </font>
    <font>
      <b/>
      <sz val="11"/>
      <color rgb="FF000000"/>
      <name val="Calibri"/>
    </font>
    <font>
      <b/>
      <sz val="9"/>
      <color rgb="FF888888"/>
      <name val="Calibri"/>
    </font>
    <font>
      <sz val="9"/>
      <color rgb="FF888888"/>
      <name val="Aptos Narrow"/>
      <family val="2"/>
      <scheme val="minor"/>
    </font>
    <font>
      <b/>
      <sz val="9"/>
      <color rgb="FF888888"/>
      <name val="Aptos Narrow"/>
      <family val="2"/>
      <scheme val="minor"/>
    </font>
    <font>
      <sz val="9"/>
      <color rgb="FF888888"/>
      <name val="Calibri"/>
    </font>
    <font>
      <b/>
      <sz val="11"/>
      <color theme="1"/>
      <name val="Calibri"/>
    </font>
    <font>
      <sz val="10"/>
      <color theme="1"/>
      <name val="Calibri"/>
    </font>
    <font>
      <b/>
      <sz val="10"/>
      <color theme="1"/>
      <name val="Calibri"/>
    </font>
    <font>
      <sz val="10"/>
      <color rgb="FF444444"/>
      <name val="Calibri"/>
    </font>
    <font>
      <b/>
      <sz val="10"/>
      <color rgb="FF444444"/>
      <name val="Calibri"/>
    </font>
  </fonts>
  <fills count="11">
    <fill>
      <patternFill patternType="none"/>
    </fill>
    <fill>
      <patternFill patternType="gray125"/>
    </fill>
    <fill>
      <patternFill patternType="solid">
        <fgColor rgb="FF1F3864"/>
        <bgColor indexed="64"/>
      </patternFill>
    </fill>
    <fill>
      <patternFill patternType="solid">
        <fgColor rgb="FFD6E4F0"/>
        <bgColor indexed="64"/>
      </patternFill>
    </fill>
    <fill>
      <patternFill patternType="solid">
        <fgColor rgb="FFEBF3FB"/>
        <bgColor indexed="64"/>
      </patternFill>
    </fill>
    <fill>
      <patternFill patternType="solid">
        <fgColor rgb="FFFFFACD"/>
        <bgColor indexed="64"/>
      </patternFill>
    </fill>
    <fill>
      <patternFill patternType="solid">
        <fgColor rgb="FFC00000"/>
        <bgColor indexed="64"/>
      </patternFill>
    </fill>
    <fill>
      <patternFill patternType="solid">
        <fgColor rgb="FFFFFFFF"/>
        <bgColor indexed="64"/>
      </patternFill>
    </fill>
    <fill>
      <patternFill patternType="solid">
        <fgColor rgb="FF1F2D3D"/>
        <bgColor indexed="64"/>
      </patternFill>
    </fill>
    <fill>
      <patternFill patternType="solid">
        <fgColor rgb="FFF5F5F5"/>
        <bgColor indexed="64"/>
      </patternFill>
    </fill>
    <fill>
      <patternFill patternType="solid">
        <fgColor rgb="FFE8E8E8"/>
        <bgColor indexed="64"/>
      </patternFill>
    </fill>
  </fills>
  <borders count="2">
    <border>
      <left/>
      <right/>
      <top/>
      <bottom/>
      <diagonal/>
    </border>
    <border>
      <left/>
      <right/>
      <top/>
      <bottom style="double">
        <color auto="1"/>
      </bottom>
      <diagonal/>
    </border>
  </borders>
  <cellStyleXfs count="1">
    <xf numFmtId="0" fontId="0" fillId="0" borderId="0"/>
  </cellStyleXfs>
  <cellXfs count="117">
    <xf numFmtId="0" fontId="0" fillId="0" borderId="0" xfId="0"/>
    <xf numFmtId="0" fontId="1" fillId="0" borderId="0" xfId="0" applyFont="1"/>
    <xf numFmtId="0" fontId="1" fillId="3" borderId="0" xfId="0" applyFont="1" applyFill="1"/>
    <xf numFmtId="165" fontId="0" fillId="0" borderId="0" xfId="0" applyNumberFormat="1"/>
    <xf numFmtId="0" fontId="1" fillId="4" borderId="0" xfId="0" applyFont="1" applyFill="1"/>
    <xf numFmtId="0" fontId="2" fillId="2" borderId="0" xfId="0" applyFont="1" applyFill="1"/>
    <xf numFmtId="0" fontId="1" fillId="5" borderId="0" xfId="0" applyFont="1" applyFill="1"/>
    <xf numFmtId="165" fontId="3" fillId="0" borderId="0" xfId="0" applyNumberFormat="1" applyFont="1"/>
    <xf numFmtId="9" fontId="3" fillId="0" borderId="0" xfId="0" applyNumberFormat="1" applyFont="1"/>
    <xf numFmtId="9" fontId="4" fillId="0" borderId="0" xfId="0" applyNumberFormat="1" applyFont="1"/>
    <xf numFmtId="171" fontId="3" fillId="0" borderId="0" xfId="0" applyNumberFormat="1" applyFont="1"/>
    <xf numFmtId="0" fontId="0" fillId="3" borderId="0" xfId="0" applyFill="1"/>
    <xf numFmtId="171" fontId="0" fillId="0" borderId="0" xfId="0" applyNumberFormat="1"/>
    <xf numFmtId="0" fontId="2" fillId="6" borderId="0" xfId="0" applyFont="1" applyFill="1"/>
    <xf numFmtId="0" fontId="0" fillId="6" borderId="0" xfId="0" applyFill="1"/>
    <xf numFmtId="0" fontId="0" fillId="0" borderId="0" xfId="0" applyAlignment="1">
      <alignment horizontal="left"/>
    </xf>
    <xf numFmtId="0" fontId="1" fillId="9" borderId="0" xfId="0" applyFont="1" applyFill="1"/>
    <xf numFmtId="0" fontId="7" fillId="8" borderId="0" xfId="0" applyFont="1" applyFill="1" applyAlignment="1">
      <alignment horizontal="left"/>
    </xf>
    <xf numFmtId="0" fontId="5" fillId="7" borderId="0" xfId="0" applyFont="1" applyFill="1" applyAlignment="1">
      <alignment horizontal="left"/>
    </xf>
    <xf numFmtId="0" fontId="5" fillId="9" borderId="0" xfId="0" applyFont="1" applyFill="1" applyAlignment="1">
      <alignment horizontal="left"/>
    </xf>
    <xf numFmtId="0" fontId="10" fillId="9" borderId="0" xfId="0" applyFont="1" applyFill="1" applyAlignment="1">
      <alignment horizontal="left"/>
    </xf>
    <xf numFmtId="0" fontId="10" fillId="4" borderId="0" xfId="0" applyFont="1" applyFill="1" applyAlignment="1">
      <alignment horizontal="left"/>
    </xf>
    <xf numFmtId="0" fontId="10" fillId="5" borderId="0" xfId="0" applyFont="1" applyFill="1" applyAlignment="1">
      <alignment horizontal="left"/>
    </xf>
    <xf numFmtId="0" fontId="6" fillId="7" borderId="0" xfId="0" applyFont="1" applyFill="1" applyAlignment="1">
      <alignment horizontal="left"/>
    </xf>
    <xf numFmtId="0" fontId="1" fillId="9" borderId="0" xfId="0" applyFont="1" applyFill="1" applyAlignment="1">
      <alignment horizontal="left"/>
    </xf>
    <xf numFmtId="0" fontId="0" fillId="0" borderId="0" xfId="0" applyAlignment="1">
      <alignment horizontal="right"/>
    </xf>
    <xf numFmtId="0" fontId="5" fillId="7" borderId="0" xfId="0" applyFont="1" applyFill="1" applyAlignment="1">
      <alignment horizontal="right"/>
    </xf>
    <xf numFmtId="167" fontId="9" fillId="7" borderId="0" xfId="0" applyNumberFormat="1" applyFont="1" applyFill="1" applyAlignment="1">
      <alignment horizontal="right"/>
    </xf>
    <xf numFmtId="0" fontId="5" fillId="9" borderId="0" xfId="0" applyFont="1" applyFill="1" applyAlignment="1">
      <alignment horizontal="right"/>
    </xf>
    <xf numFmtId="3" fontId="9" fillId="7" borderId="0" xfId="0" applyNumberFormat="1" applyFont="1" applyFill="1" applyAlignment="1">
      <alignment horizontal="right"/>
    </xf>
    <xf numFmtId="10" fontId="9" fillId="7" borderId="0" xfId="0" applyNumberFormat="1" applyFont="1" applyFill="1" applyAlignment="1">
      <alignment horizontal="right"/>
    </xf>
    <xf numFmtId="164" fontId="9" fillId="7" borderId="0" xfId="0" applyNumberFormat="1" applyFont="1" applyFill="1" applyAlignment="1">
      <alignment horizontal="right"/>
    </xf>
    <xf numFmtId="10" fontId="9" fillId="9" borderId="0" xfId="0" applyNumberFormat="1" applyFont="1" applyFill="1" applyAlignment="1">
      <alignment horizontal="right"/>
    </xf>
    <xf numFmtId="168" fontId="9" fillId="7" borderId="0" xfId="0" applyNumberFormat="1" applyFont="1" applyFill="1" applyAlignment="1">
      <alignment horizontal="right"/>
    </xf>
    <xf numFmtId="10" fontId="5" fillId="9" borderId="0" xfId="0" applyNumberFormat="1" applyFont="1" applyFill="1" applyAlignment="1">
      <alignment horizontal="right"/>
    </xf>
    <xf numFmtId="10" fontId="5" fillId="7" borderId="0" xfId="0" applyNumberFormat="1" applyFont="1" applyFill="1" applyAlignment="1">
      <alignment horizontal="right"/>
    </xf>
    <xf numFmtId="0" fontId="9" fillId="7" borderId="0" xfId="0" applyFont="1" applyFill="1" applyAlignment="1">
      <alignment horizontal="right"/>
    </xf>
    <xf numFmtId="0" fontId="9" fillId="9" borderId="0" xfId="0" applyFont="1" applyFill="1" applyAlignment="1">
      <alignment horizontal="right"/>
    </xf>
    <xf numFmtId="165" fontId="9" fillId="7" borderId="0" xfId="0" applyNumberFormat="1" applyFont="1" applyFill="1" applyAlignment="1">
      <alignment horizontal="right"/>
    </xf>
    <xf numFmtId="0" fontId="10" fillId="9" borderId="0" xfId="0" applyFont="1" applyFill="1" applyAlignment="1">
      <alignment horizontal="right"/>
    </xf>
    <xf numFmtId="165" fontId="5" fillId="7" borderId="0" xfId="0" applyNumberFormat="1" applyFont="1" applyFill="1" applyAlignment="1">
      <alignment horizontal="right"/>
    </xf>
    <xf numFmtId="169" fontId="5" fillId="7" borderId="0" xfId="0" applyNumberFormat="1" applyFont="1" applyFill="1" applyAlignment="1">
      <alignment horizontal="right"/>
    </xf>
    <xf numFmtId="167" fontId="5" fillId="7" borderId="0" xfId="0" applyNumberFormat="1" applyFont="1" applyFill="1" applyAlignment="1">
      <alignment horizontal="right"/>
    </xf>
    <xf numFmtId="167" fontId="10" fillId="4" borderId="0" xfId="0" applyNumberFormat="1" applyFont="1" applyFill="1" applyAlignment="1">
      <alignment horizontal="right"/>
    </xf>
    <xf numFmtId="164" fontId="5" fillId="7" borderId="0" xfId="0" applyNumberFormat="1" applyFont="1" applyFill="1" applyAlignment="1">
      <alignment horizontal="right"/>
    </xf>
    <xf numFmtId="0" fontId="1" fillId="9" borderId="0" xfId="0" applyFont="1" applyFill="1" applyAlignment="1">
      <alignment horizontal="right"/>
    </xf>
    <xf numFmtId="167" fontId="0" fillId="0" borderId="0" xfId="0" applyNumberFormat="1" applyAlignment="1">
      <alignment horizontal="right"/>
    </xf>
    <xf numFmtId="170" fontId="5" fillId="7" borderId="0" xfId="0" applyNumberFormat="1" applyFont="1" applyFill="1" applyAlignment="1">
      <alignment horizontal="right"/>
    </xf>
    <xf numFmtId="166" fontId="5" fillId="7" borderId="0" xfId="0" applyNumberFormat="1" applyFont="1" applyFill="1" applyAlignment="1">
      <alignment horizontal="right"/>
    </xf>
    <xf numFmtId="10" fontId="10" fillId="9" borderId="0" xfId="0" applyNumberFormat="1" applyFont="1" applyFill="1" applyAlignment="1">
      <alignment horizontal="right"/>
    </xf>
    <xf numFmtId="0" fontId="10" fillId="5" borderId="0" xfId="0" applyFont="1" applyFill="1" applyAlignment="1">
      <alignment horizontal="right"/>
    </xf>
    <xf numFmtId="167" fontId="10" fillId="5" borderId="0" xfId="0" applyNumberFormat="1" applyFont="1" applyFill="1" applyAlignment="1">
      <alignment horizontal="right"/>
    </xf>
    <xf numFmtId="0" fontId="1" fillId="5" borderId="0" xfId="0" applyFont="1" applyFill="1" applyAlignment="1">
      <alignment horizontal="right"/>
    </xf>
    <xf numFmtId="172" fontId="0" fillId="0" borderId="0" xfId="0" applyNumberFormat="1" applyAlignment="1">
      <alignment horizontal="right"/>
    </xf>
    <xf numFmtId="165" fontId="0" fillId="0" borderId="0" xfId="0" applyNumberFormat="1" applyAlignment="1">
      <alignment horizontal="right"/>
    </xf>
    <xf numFmtId="164" fontId="0" fillId="0" borderId="0" xfId="0" applyNumberFormat="1" applyAlignment="1">
      <alignment horizontal="right"/>
    </xf>
    <xf numFmtId="9" fontId="0" fillId="0" borderId="0" xfId="0" applyNumberFormat="1" applyAlignment="1">
      <alignment horizontal="right"/>
    </xf>
    <xf numFmtId="168" fontId="5" fillId="7" borderId="0" xfId="0" applyNumberFormat="1" applyFont="1" applyFill="1" applyAlignment="1">
      <alignment horizontal="right"/>
    </xf>
    <xf numFmtId="0" fontId="10" fillId="4" borderId="0" xfId="0" applyFont="1" applyFill="1" applyAlignment="1">
      <alignment horizontal="right"/>
    </xf>
    <xf numFmtId="165" fontId="10" fillId="4" borderId="0" xfId="0" applyNumberFormat="1" applyFont="1" applyFill="1" applyAlignment="1">
      <alignment horizontal="right"/>
    </xf>
    <xf numFmtId="0" fontId="2" fillId="8" borderId="0" xfId="0" applyFont="1" applyFill="1" applyAlignment="1">
      <alignment horizontal="left"/>
    </xf>
    <xf numFmtId="0" fontId="0" fillId="2" borderId="0" xfId="0" applyFill="1" applyAlignment="1">
      <alignment horizontal="left"/>
    </xf>
    <xf numFmtId="0" fontId="10" fillId="7" borderId="0" xfId="0" applyFont="1" applyFill="1" applyAlignment="1">
      <alignment horizontal="left"/>
    </xf>
    <xf numFmtId="0" fontId="12" fillId="10" borderId="0" xfId="0" applyFont="1" applyFill="1" applyAlignment="1">
      <alignment horizontal="left"/>
    </xf>
    <xf numFmtId="0" fontId="12" fillId="10" borderId="0" xfId="0" applyFont="1" applyFill="1" applyAlignment="1">
      <alignment horizontal="right"/>
    </xf>
    <xf numFmtId="0" fontId="13" fillId="0" borderId="0" xfId="0" applyFont="1" applyAlignment="1">
      <alignment horizontal="right"/>
    </xf>
    <xf numFmtId="0" fontId="12" fillId="9" borderId="0" xfId="0" applyFont="1" applyFill="1" applyAlignment="1">
      <alignment horizontal="left"/>
    </xf>
    <xf numFmtId="0" fontId="12" fillId="9" borderId="0" xfId="0" applyFont="1" applyFill="1" applyAlignment="1">
      <alignment horizontal="right"/>
    </xf>
    <xf numFmtId="0" fontId="14" fillId="9" borderId="0" xfId="0" applyFont="1" applyFill="1" applyAlignment="1">
      <alignment horizontal="right"/>
    </xf>
    <xf numFmtId="0" fontId="15" fillId="7" borderId="0" xfId="0" applyFont="1" applyFill="1" applyAlignment="1">
      <alignment horizontal="left"/>
    </xf>
    <xf numFmtId="165" fontId="15" fillId="7" borderId="0" xfId="0" applyNumberFormat="1" applyFont="1" applyFill="1" applyAlignment="1">
      <alignment horizontal="right"/>
    </xf>
    <xf numFmtId="171" fontId="15" fillId="7" borderId="0" xfId="0" applyNumberFormat="1" applyFont="1" applyFill="1" applyAlignment="1">
      <alignment horizontal="right"/>
    </xf>
    <xf numFmtId="171" fontId="13" fillId="0" borderId="0" xfId="0" applyNumberFormat="1" applyFont="1" applyAlignment="1">
      <alignment horizontal="right"/>
    </xf>
    <xf numFmtId="0" fontId="11" fillId="5" borderId="1" xfId="0" applyFont="1" applyFill="1" applyBorder="1" applyAlignment="1">
      <alignment horizontal="left"/>
    </xf>
    <xf numFmtId="165" fontId="11" fillId="5" borderId="1" xfId="0" applyNumberFormat="1" applyFont="1" applyFill="1" applyBorder="1" applyAlignment="1">
      <alignment horizontal="right"/>
    </xf>
    <xf numFmtId="0" fontId="1" fillId="5" borderId="1" xfId="0" applyFont="1" applyFill="1" applyBorder="1" applyAlignment="1">
      <alignment horizontal="left"/>
    </xf>
    <xf numFmtId="0" fontId="1" fillId="5" borderId="1" xfId="0" applyFont="1" applyFill="1" applyBorder="1" applyAlignment="1">
      <alignment horizontal="right"/>
    </xf>
    <xf numFmtId="165" fontId="1" fillId="5" borderId="1" xfId="0" applyNumberFormat="1" applyFont="1" applyFill="1" applyBorder="1" applyAlignment="1">
      <alignment horizontal="right"/>
    </xf>
    <xf numFmtId="0" fontId="8" fillId="8" borderId="0" xfId="0" applyFont="1" applyFill="1" applyAlignment="1">
      <alignment horizontal="left"/>
    </xf>
    <xf numFmtId="0" fontId="17" fillId="0" borderId="0" xfId="0" applyFont="1" applyAlignment="1">
      <alignment horizontal="left"/>
    </xf>
    <xf numFmtId="0" fontId="17" fillId="0" borderId="0" xfId="0" applyFont="1" applyAlignment="1">
      <alignment horizontal="right"/>
    </xf>
    <xf numFmtId="0" fontId="17" fillId="0" borderId="0" xfId="0" applyFont="1"/>
    <xf numFmtId="0" fontId="18" fillId="9" borderId="0" xfId="0" applyFont="1" applyFill="1" applyAlignment="1">
      <alignment horizontal="right"/>
    </xf>
    <xf numFmtId="165" fontId="17" fillId="0" borderId="0" xfId="0" applyNumberFormat="1" applyFont="1" applyAlignment="1">
      <alignment horizontal="right"/>
    </xf>
    <xf numFmtId="165" fontId="18" fillId="5" borderId="0" xfId="0" applyNumberFormat="1" applyFont="1" applyFill="1" applyAlignment="1">
      <alignment horizontal="right"/>
    </xf>
    <xf numFmtId="164" fontId="17" fillId="0" borderId="0" xfId="0" applyNumberFormat="1" applyFont="1" applyAlignment="1">
      <alignment horizontal="right"/>
    </xf>
    <xf numFmtId="167" fontId="17" fillId="0" borderId="0" xfId="0" applyNumberFormat="1" applyFont="1" applyAlignment="1">
      <alignment horizontal="right"/>
    </xf>
    <xf numFmtId="172" fontId="17" fillId="0" borderId="0" xfId="0" applyNumberFormat="1" applyFont="1" applyAlignment="1">
      <alignment horizontal="right"/>
    </xf>
    <xf numFmtId="9" fontId="17" fillId="0" borderId="0" xfId="0" applyNumberFormat="1" applyFont="1" applyAlignment="1">
      <alignment horizontal="right"/>
    </xf>
    <xf numFmtId="0" fontId="18" fillId="9" borderId="0" xfId="0" applyFont="1" applyFill="1" applyAlignment="1">
      <alignment horizontal="left"/>
    </xf>
    <xf numFmtId="0" fontId="18" fillId="5" borderId="0" xfId="0" applyFont="1" applyFill="1" applyAlignment="1">
      <alignment horizontal="left"/>
    </xf>
    <xf numFmtId="10" fontId="18" fillId="9" borderId="0" xfId="0" applyNumberFormat="1" applyFont="1" applyFill="1" applyAlignment="1">
      <alignment horizontal="right"/>
    </xf>
    <xf numFmtId="10" fontId="18" fillId="9" borderId="0" xfId="0" applyNumberFormat="1" applyFont="1" applyFill="1" applyAlignment="1">
      <alignment horizontal="left"/>
    </xf>
    <xf numFmtId="0" fontId="18" fillId="4" borderId="0" xfId="0" applyFont="1" applyFill="1" applyAlignment="1">
      <alignment horizontal="left"/>
    </xf>
    <xf numFmtId="167" fontId="18" fillId="4" borderId="0" xfId="0" applyNumberFormat="1" applyFont="1" applyFill="1" applyAlignment="1">
      <alignment horizontal="right"/>
    </xf>
    <xf numFmtId="167" fontId="18" fillId="4" borderId="0" xfId="0" applyNumberFormat="1" applyFont="1" applyFill="1" applyAlignment="1">
      <alignment horizontal="left"/>
    </xf>
    <xf numFmtId="167" fontId="17" fillId="0" borderId="0" xfId="0" applyNumberFormat="1" applyFont="1" applyAlignment="1">
      <alignment horizontal="left"/>
    </xf>
    <xf numFmtId="167" fontId="18" fillId="5" borderId="0" xfId="0" applyNumberFormat="1" applyFont="1" applyFill="1" applyAlignment="1">
      <alignment horizontal="right"/>
    </xf>
    <xf numFmtId="167" fontId="18" fillId="5" borderId="0" xfId="0" applyNumberFormat="1" applyFont="1" applyFill="1" applyAlignment="1">
      <alignment horizontal="left"/>
    </xf>
    <xf numFmtId="168" fontId="17" fillId="0" borderId="0" xfId="0" applyNumberFormat="1" applyFont="1" applyAlignment="1">
      <alignment horizontal="right"/>
    </xf>
    <xf numFmtId="0" fontId="19" fillId="0" borderId="0" xfId="0" applyFont="1" applyAlignment="1">
      <alignment horizontal="left"/>
    </xf>
    <xf numFmtId="0" fontId="17" fillId="7" borderId="0" xfId="0" applyFont="1" applyFill="1" applyAlignment="1">
      <alignment horizontal="right"/>
    </xf>
    <xf numFmtId="0" fontId="20" fillId="7" borderId="0" xfId="0" applyFont="1" applyFill="1" applyAlignment="1">
      <alignment horizontal="left"/>
    </xf>
    <xf numFmtId="0" fontId="16" fillId="7" borderId="0" xfId="0" applyFont="1" applyFill="1" applyAlignment="1">
      <alignment horizontal="right"/>
    </xf>
    <xf numFmtId="165" fontId="18" fillId="4" borderId="0" xfId="0" applyNumberFormat="1" applyFont="1" applyFill="1" applyAlignment="1">
      <alignment horizontal="right"/>
    </xf>
    <xf numFmtId="0" fontId="20" fillId="4" borderId="0" xfId="0" applyFont="1" applyFill="1" applyAlignment="1">
      <alignment horizontal="left"/>
    </xf>
    <xf numFmtId="0" fontId="19" fillId="9" borderId="0" xfId="0" applyFont="1" applyFill="1" applyAlignment="1">
      <alignment horizontal="left"/>
    </xf>
    <xf numFmtId="165" fontId="17" fillId="9" borderId="0" xfId="0" applyNumberFormat="1" applyFont="1" applyFill="1" applyAlignment="1">
      <alignment horizontal="right"/>
    </xf>
    <xf numFmtId="0" fontId="20" fillId="5" borderId="0" xfId="0" applyFont="1" applyFill="1" applyAlignment="1">
      <alignment horizontal="left"/>
    </xf>
    <xf numFmtId="0" fontId="17" fillId="9" borderId="0" xfId="0" applyFont="1" applyFill="1" applyAlignment="1">
      <alignment horizontal="left"/>
    </xf>
    <xf numFmtId="172" fontId="17" fillId="9" borderId="0" xfId="0" applyNumberFormat="1" applyFont="1" applyFill="1" applyAlignment="1">
      <alignment horizontal="right"/>
    </xf>
    <xf numFmtId="0" fontId="17" fillId="9" borderId="0" xfId="0" applyFont="1" applyFill="1" applyAlignment="1">
      <alignment horizontal="right"/>
    </xf>
    <xf numFmtId="167" fontId="17" fillId="9" borderId="0" xfId="0" applyNumberFormat="1" applyFont="1" applyFill="1" applyAlignment="1">
      <alignment horizontal="right"/>
    </xf>
    <xf numFmtId="165" fontId="18" fillId="9" borderId="0" xfId="0" applyNumberFormat="1" applyFont="1" applyFill="1" applyAlignment="1">
      <alignment horizontal="right"/>
    </xf>
    <xf numFmtId="164" fontId="17" fillId="9" borderId="0" xfId="0" applyNumberFormat="1" applyFont="1" applyFill="1" applyAlignment="1">
      <alignment horizontal="right"/>
    </xf>
    <xf numFmtId="0" fontId="16" fillId="5" borderId="0" xfId="0" applyFont="1" applyFill="1" applyAlignment="1">
      <alignment horizontal="right"/>
    </xf>
    <xf numFmtId="0" fontId="7" fillId="8" borderId="0" xfId="0" applyFont="1" applyFill="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06/relationships/rdSupportingPropertyBag" Target="richData/rdsupporting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SupportingPropertyBagStructure" Target="richData/rdsupportingpropertybagstructure.xml"/><Relationship Id="rId5" Type="http://schemas.openxmlformats.org/officeDocument/2006/relationships/styles" Target="styles.xml"/><Relationship Id="rId10" Type="http://schemas.microsoft.com/office/2017/06/relationships/richStyles" Target="richData/richStyl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https://www.bing.com/financeapi/forcetrigger?t=a1s24c&amp;q=XNYS%3aEOG&amp;form=skydnc</v>
    <v>Learn more on Bing</v>
  </rv>
  <rv s="1">
    <v>en-GB</v>
    <v>a1s24c</v>
    <v>268435456</v>
    <v>1</v>
    <v>Powered by Refinitiv</v>
    <v>0</v>
    <v>EOG RESOURCES, INC. (XNYS:EOG)</v>
    <v>2</v>
    <v>3</v>
    <v>Finance</v>
    <v>4</v>
    <v>140.91990000000001</v>
    <v>101.5936</v>
    <v>0.34439999999999998</v>
    <v>-0.09</v>
    <v>-3.0270000000000002E-3</v>
    <v>-6.4829999999999998E-4</v>
    <v>-0.42</v>
    <v>USD</v>
    <v>EOG Resources, Inc. is a crude oil and natural gas exploration and production company. The Company explores, develops, produces, and markets crude oil, natural gas liquids (NGLs) and natural gas primarily in major producing basins in the United States, the Republic of Trinidad and Tobago (Trinidad) and, from time to time, selects other international areas. Its operations are located in the basins of the United States with a focus on crude oil and natural gas plays. It is focused on the Wolfcamp, Bone Spring, and Leonard plays. The South Texas area includes the Eagle Ford play and the Dorado gas play. It holds approximately 535,000 total net acres in the Eagle Ford play and approximately 160,000 net acres in the Dorado gas play. In Trinidad, the Company, through its subsidiaries, including EOG Resources Trinidad Limited, holds interests in the exploration and production licenses covering the South East Coast Consortium (SECC) and Pelican Blocks, Banyan and Sercan Areas, and others.</v>
    <v>3400</v>
    <v>New York Stock Exchange</v>
    <v>XNYS</v>
    <v>XNYS</v>
    <v>1111 Bagby, Sky Lobby 2, HOUSTON, TX, 77002 US</v>
    <v>140.91990000000001</v>
    <v>Oil &amp; Gas</v>
    <v>Stock</v>
    <v>46101.992137117966</v>
    <v>0</v>
    <v>138.25</v>
    <v>74427465795</v>
    <v>EOG RESOURCES, INC.</v>
    <v>EOG RESOURCES, INC.</v>
    <v>139.35</v>
    <v>15.2363</v>
    <v>138.82</v>
    <v>138.72999999999999</v>
    <v>138.31</v>
    <v>536491500</v>
    <v>EOG</v>
    <v>EOG RESOURCES, INC. (XNYS:EOG)</v>
    <v>15690064</v>
    <v>5956089</v>
    <v>1985</v>
  </rv>
  <rv s="2">
    <v>1</v>
  </rv>
</rvData>
</file>

<file path=xl/richData/rdrichvaluestructure.xml><?xml version="1.0" encoding="utf-8"?>
<rvStructures xmlns="http://schemas.microsoft.com/office/spreadsheetml/2017/richdata" count="3">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v>
      <v>GMT</v>
      <v>Delayed 15 minutes</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3">
    <wetp:webextensionref xmlns:r="http://schemas.openxmlformats.org/officeDocument/2006/relationships" r:id="rId1"/>
  </wetp:taskpane>
  <wetp:taskpane dockstate="right" visibility="0" width="438" row="5">
    <wetp:webextensionref xmlns:r="http://schemas.openxmlformats.org/officeDocument/2006/relationships" r:id="rId2"/>
  </wetp:taskpane>
</wetp:taskpanes>
</file>

<file path=xl/webextensions/webextension1.xml><?xml version="1.0" encoding="utf-8"?>
<we:webextension xmlns:we="http://schemas.microsoft.com/office/webextensions/webextension/2010/11" id="{0C57DDFA-C156-4965-8C25-8831FDF1E874}">
  <we:reference id="wa200009404" version="1.0.0.5" store="en-US" storeType="OMEX"/>
  <we:alternateReferences>
    <we:reference id="WA200009404" version="1.0.0.5"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C9C9C52A-B531-41D1-8617-EE50DB821E54}">
  <we:reference id="wa104379220" version="8.0.0.0" store="en-US" storeType="OMEX"/>
  <we:alternateReferences>
    <we:reference id="wa104379220" version="8.0.0.0" store="wa104379220" storeType="OMEX"/>
  </we:alternateReferences>
  <we:properties>
    <we:property name="Office.AutoShowTaskpaneWithDocument" value="true"/>
    <we:property name="stocksChange" value="{}"/>
    <we:property name="stocks" value="{}"/>
    <we:property name="stocksOrder" value="[]"/>
    <we:property name="updateIntervalIndex" value="2"/>
    <we:property name="stocksSources" value="{}"/>
    <we:property name="lastCryptoCompare" value="0"/>
    <we:property name="lastIexCall" value="0"/>
    <we:property name="lastMutualFundsCall" value="0"/>
  </we:properties>
  <we:bindings/>
  <we:snapshot xmlns:r="http://schemas.openxmlformats.org/officeDocument/2006/relationships"/>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010E8-000F-4B8D-8731-3405FFCC71A1}">
  <dimension ref="A1:N100"/>
  <sheetViews>
    <sheetView tabSelected="1" workbookViewId="0">
      <pane ySplit="1" topLeftCell="A2" activePane="bottomLeft" state="frozen"/>
      <selection pane="bottomLeft" activeCell="D38" sqref="D38"/>
    </sheetView>
  </sheetViews>
  <sheetFormatPr defaultRowHeight="14.4" x14ac:dyDescent="0.3"/>
  <cols>
    <col min="1" max="1" width="34.21875" style="15" customWidth="1"/>
    <col min="2" max="3" width="16.6640625" customWidth="1"/>
    <col min="4" max="4" width="18.5546875" customWidth="1"/>
    <col min="5" max="5" width="14.44140625" customWidth="1"/>
    <col min="6" max="6" width="30.5546875" customWidth="1"/>
    <col min="7" max="9" width="16.6640625" customWidth="1"/>
    <col min="10" max="10" width="18.5546875" customWidth="1"/>
    <col min="11" max="14" width="3.6640625" customWidth="1"/>
  </cols>
  <sheetData>
    <row r="1" spans="1:14" ht="24" customHeight="1" x14ac:dyDescent="0.3">
      <c r="A1" s="78" t="e" vm="1">
        <v>#VALUE!</v>
      </c>
      <c r="B1" s="17"/>
      <c r="C1" s="17"/>
      <c r="D1" s="17"/>
      <c r="E1" s="17"/>
      <c r="F1" s="17"/>
      <c r="G1" s="17"/>
      <c r="H1" s="17"/>
      <c r="I1" s="17"/>
      <c r="J1" s="17"/>
      <c r="K1" s="17"/>
      <c r="L1" s="17"/>
      <c r="M1" s="17"/>
      <c r="N1" s="17"/>
    </row>
    <row r="2" spans="1:14" ht="7.95" customHeight="1" x14ac:dyDescent="0.3">
      <c r="A2" s="79"/>
      <c r="B2" s="80"/>
      <c r="C2" s="80"/>
      <c r="D2" s="80"/>
      <c r="E2" s="80"/>
      <c r="F2" s="79"/>
      <c r="G2" s="80"/>
      <c r="H2" s="80"/>
      <c r="I2" s="80"/>
      <c r="J2" s="80"/>
      <c r="K2" s="81"/>
      <c r="L2" s="81"/>
      <c r="M2" s="81"/>
      <c r="N2" s="81"/>
    </row>
    <row r="3" spans="1:14" ht="18" customHeight="1" x14ac:dyDescent="0.3">
      <c r="A3" s="17" t="s">
        <v>180</v>
      </c>
      <c r="B3" s="17"/>
      <c r="C3" s="17"/>
      <c r="D3" s="17"/>
      <c r="E3" s="79"/>
      <c r="F3" s="17" t="s">
        <v>116</v>
      </c>
      <c r="G3" s="17"/>
      <c r="H3" s="17"/>
      <c r="I3" s="17"/>
      <c r="J3" s="17"/>
      <c r="K3" s="17"/>
      <c r="L3" s="17"/>
      <c r="M3" s="17"/>
      <c r="N3" s="17"/>
    </row>
    <row r="4" spans="1:14" ht="18" customHeight="1" x14ac:dyDescent="0.3">
      <c r="A4" s="102" t="s">
        <v>0</v>
      </c>
      <c r="B4" s="103" t="str">
        <f>G13</f>
        <v>Base</v>
      </c>
      <c r="C4" s="101"/>
      <c r="D4" s="101"/>
      <c r="E4" s="80"/>
      <c r="F4" s="79"/>
      <c r="G4" s="82" t="s">
        <v>54</v>
      </c>
      <c r="H4" s="82" t="s">
        <v>55</v>
      </c>
      <c r="I4" s="82" t="s">
        <v>56</v>
      </c>
      <c r="J4" s="82" t="s">
        <v>127</v>
      </c>
      <c r="K4" s="81"/>
      <c r="L4" s="81"/>
      <c r="M4" s="81"/>
      <c r="N4" s="81"/>
    </row>
    <row r="5" spans="1:14" ht="18" customHeight="1" x14ac:dyDescent="0.3">
      <c r="A5" s="105" t="s">
        <v>181</v>
      </c>
      <c r="B5" s="104" cm="1">
        <f t="array" aca="1" ref="B5" ca="1">_FV(A1,"Price")</f>
        <v>138.72999999999999</v>
      </c>
      <c r="C5" s="80"/>
      <c r="D5" s="80"/>
      <c r="E5" s="80"/>
      <c r="F5" s="79" t="s">
        <v>151</v>
      </c>
      <c r="G5" s="84">
        <f>Model!D98</f>
        <v>152.72698986802777</v>
      </c>
      <c r="H5" s="84">
        <f>Model!D100</f>
        <v>196.42264432081865</v>
      </c>
      <c r="I5" s="84">
        <f>Model!D97</f>
        <v>64.5842232167426</v>
      </c>
      <c r="J5" s="84">
        <f>Model!D99</f>
        <v>172.81922481371984</v>
      </c>
      <c r="K5" s="81"/>
      <c r="L5" s="81"/>
      <c r="M5" s="81"/>
      <c r="N5" s="81"/>
    </row>
    <row r="6" spans="1:14" ht="18" customHeight="1" x14ac:dyDescent="0.3">
      <c r="A6" s="100"/>
      <c r="B6" s="80"/>
      <c r="C6" s="80"/>
      <c r="D6" s="80"/>
      <c r="E6" s="80"/>
      <c r="F6" s="79" t="s">
        <v>157</v>
      </c>
      <c r="G6" s="83">
        <f>Model!C111</f>
        <v>150.79314383105802</v>
      </c>
      <c r="H6" s="83">
        <f>Model!D111</f>
        <v>177.68970723008931</v>
      </c>
      <c r="I6" s="83">
        <f>Model!E111</f>
        <v>71.330446088750989</v>
      </c>
      <c r="J6" s="83">
        <f>Model!F111</f>
        <v>165.10467695141497</v>
      </c>
      <c r="K6" s="81"/>
      <c r="L6" s="81"/>
      <c r="M6" s="81"/>
      <c r="N6" s="81"/>
    </row>
    <row r="7" spans="1:14" ht="18" customHeight="1" x14ac:dyDescent="0.3">
      <c r="A7" s="106" t="s">
        <v>158</v>
      </c>
      <c r="B7" s="107">
        <f>IF(B4="Base",Scenarios!D3,IF(B4="Bull",Scenarios!D4,IF(B4="Bear",Scenarios!D5,Scenarios!D6)))</f>
        <v>90</v>
      </c>
      <c r="C7" s="80"/>
      <c r="D7" s="80"/>
      <c r="E7" s="80"/>
      <c r="F7" s="79" t="s">
        <v>117</v>
      </c>
      <c r="G7" s="85">
        <f ca="1">(G5-$B$5)/$B$5</f>
        <v>0.10089374949922715</v>
      </c>
      <c r="H7" s="85">
        <f ca="1">(H5-$B$5)/$B$5</f>
        <v>0.41586278613723537</v>
      </c>
      <c r="I7" s="85">
        <f ca="1">(I5-$B$5)/$B$5</f>
        <v>-0.53446101624203413</v>
      </c>
      <c r="J7" s="85">
        <f ca="1">(J5-$B$5)/$B$5</f>
        <v>0.24572352637295361</v>
      </c>
      <c r="K7" s="81"/>
      <c r="L7" s="81"/>
      <c r="M7" s="81"/>
      <c r="N7" s="81"/>
    </row>
    <row r="8" spans="1:14" ht="18" customHeight="1" x14ac:dyDescent="0.3">
      <c r="A8" s="106" t="s">
        <v>182</v>
      </c>
      <c r="B8" s="107">
        <f>IF(B4="Base",Scenarios!D10,IF(B4="Bull",Scenarios!D11,IF(B4="Bear",Scenarios!D12,Scenarios!D13)))</f>
        <v>2.6</v>
      </c>
      <c r="C8" s="80"/>
      <c r="D8" s="80"/>
      <c r="E8" s="80"/>
      <c r="F8" s="79" t="s">
        <v>168</v>
      </c>
      <c r="G8" s="86">
        <f>Model!C98</f>
        <v>6.1033836778665824</v>
      </c>
      <c r="H8" s="86">
        <f>Model!C100</f>
        <v>7.710356335859756</v>
      </c>
      <c r="I8" s="86">
        <f>Model!C97</f>
        <v>1.574021649967891</v>
      </c>
      <c r="J8" s="86">
        <f>Model!C99</f>
        <v>6.9712842583383123</v>
      </c>
      <c r="K8" s="81"/>
      <c r="L8" s="81"/>
      <c r="M8" s="81"/>
      <c r="N8" s="81"/>
    </row>
    <row r="9" spans="1:14" ht="18" customHeight="1" x14ac:dyDescent="0.3">
      <c r="A9" s="108" t="s">
        <v>118</v>
      </c>
      <c r="B9" s="84">
        <f>Model!D101</f>
        <v>146.85140267018272</v>
      </c>
      <c r="C9" s="80"/>
      <c r="D9" s="80"/>
      <c r="E9" s="80"/>
      <c r="F9" s="79" t="s">
        <v>183</v>
      </c>
      <c r="G9" s="86">
        <f>Model!C106</f>
        <v>15.630599576140241</v>
      </c>
      <c r="H9" s="86">
        <f>Model!D106</f>
        <v>18.271353073499679</v>
      </c>
      <c r="I9" s="86">
        <f>Model!E106</f>
        <v>7.8288074341682785</v>
      </c>
      <c r="J9" s="86">
        <f>Model!F106</f>
        <v>17.035731918866201</v>
      </c>
      <c r="K9" s="81"/>
      <c r="L9" s="81"/>
      <c r="M9" s="81"/>
      <c r="N9" s="81"/>
    </row>
    <row r="10" spans="1:14" ht="18" customHeight="1" x14ac:dyDescent="0.3">
      <c r="A10" s="79"/>
      <c r="B10" s="80"/>
      <c r="C10" s="80"/>
      <c r="D10" s="80"/>
      <c r="E10" s="80"/>
      <c r="F10" s="79" t="s">
        <v>158</v>
      </c>
      <c r="G10" s="87">
        <f>Model!B98</f>
        <v>90</v>
      </c>
      <c r="H10" s="87">
        <f>Model!B100</f>
        <v>100</v>
      </c>
      <c r="I10" s="87">
        <f>Model!B97</f>
        <v>55</v>
      </c>
      <c r="J10" s="87">
        <f>Model!B99</f>
        <v>95</v>
      </c>
      <c r="K10" s="81"/>
      <c r="L10" s="81"/>
      <c r="M10" s="81"/>
      <c r="N10" s="81"/>
    </row>
    <row r="11" spans="1:14" ht="18" customHeight="1" x14ac:dyDescent="0.3">
      <c r="A11" s="79"/>
      <c r="B11" s="80"/>
      <c r="C11" s="80"/>
      <c r="D11" s="80"/>
      <c r="E11" s="80"/>
      <c r="F11" s="79" t="s">
        <v>153</v>
      </c>
      <c r="G11" s="88">
        <f>Model!G98</f>
        <v>0.45</v>
      </c>
      <c r="H11" s="88">
        <f>Model!G100</f>
        <v>0.2</v>
      </c>
      <c r="I11" s="88">
        <f>Model!G97</f>
        <v>0.2</v>
      </c>
      <c r="J11" s="88">
        <f>Model!G99</f>
        <v>0.15</v>
      </c>
      <c r="K11" s="81"/>
      <c r="L11" s="81"/>
      <c r="M11" s="81"/>
      <c r="N11" s="81"/>
    </row>
    <row r="12" spans="1:14" ht="18" customHeight="1" x14ac:dyDescent="0.3">
      <c r="A12" s="79"/>
      <c r="B12" s="80"/>
      <c r="C12" s="80"/>
      <c r="D12" s="80"/>
      <c r="E12" s="80"/>
      <c r="F12" s="79"/>
      <c r="G12" s="80"/>
      <c r="H12" s="80"/>
      <c r="I12" s="80"/>
      <c r="J12" s="80"/>
      <c r="K12" s="81"/>
      <c r="L12" s="81"/>
      <c r="M12" s="81"/>
      <c r="N12" s="81"/>
    </row>
    <row r="13" spans="1:14" ht="18" customHeight="1" x14ac:dyDescent="0.3">
      <c r="A13" s="79"/>
      <c r="B13" s="80"/>
      <c r="C13" s="80"/>
      <c r="D13" s="80"/>
      <c r="E13" s="80"/>
      <c r="F13" s="89" t="s">
        <v>184</v>
      </c>
      <c r="G13" s="115" t="s">
        <v>54</v>
      </c>
      <c r="H13" s="80"/>
      <c r="I13" s="80"/>
      <c r="J13" s="80"/>
      <c r="K13" s="81"/>
      <c r="L13" s="81"/>
      <c r="M13" s="81"/>
      <c r="N13" s="81"/>
    </row>
    <row r="14" spans="1:14" ht="18" customHeight="1" x14ac:dyDescent="0.3">
      <c r="A14" s="79"/>
      <c r="B14" s="80"/>
      <c r="C14" s="80"/>
      <c r="D14" s="80"/>
      <c r="E14" s="80"/>
      <c r="F14" s="79" t="s">
        <v>185</v>
      </c>
      <c r="G14" s="84">
        <f>IF(B4="Base",G5,IF(B4="Bull",H5,IF(B4="Bear",I5,J5)))</f>
        <v>152.72698986802777</v>
      </c>
      <c r="H14" s="80"/>
      <c r="I14" s="80"/>
      <c r="J14" s="80"/>
      <c r="K14" s="81"/>
      <c r="L14" s="81"/>
      <c r="M14" s="81"/>
      <c r="N14" s="81"/>
    </row>
    <row r="15" spans="1:14" ht="18" customHeight="1" x14ac:dyDescent="0.3">
      <c r="A15" s="79"/>
      <c r="B15" s="80"/>
      <c r="C15" s="80"/>
      <c r="D15" s="80"/>
      <c r="E15" s="80"/>
      <c r="F15" s="79"/>
      <c r="G15" s="80"/>
      <c r="H15" s="80"/>
      <c r="I15" s="80"/>
      <c r="J15" s="80"/>
      <c r="K15" s="81"/>
      <c r="L15" s="81"/>
      <c r="M15" s="81"/>
      <c r="N15" s="81"/>
    </row>
    <row r="16" spans="1:14" ht="19.95" customHeight="1" x14ac:dyDescent="0.3">
      <c r="A16" s="17" t="s">
        <v>155</v>
      </c>
      <c r="B16" s="17"/>
      <c r="C16" s="17"/>
      <c r="D16" s="17"/>
      <c r="E16" s="17"/>
      <c r="F16" s="17"/>
      <c r="G16" s="17"/>
      <c r="H16" s="17"/>
      <c r="I16" s="17"/>
      <c r="J16" s="17"/>
      <c r="K16" s="17"/>
      <c r="L16" s="17"/>
      <c r="M16" s="17"/>
      <c r="N16" s="17"/>
    </row>
    <row r="17" spans="1:14" ht="18" customHeight="1" x14ac:dyDescent="0.3">
      <c r="A17" s="89"/>
      <c r="B17" s="82" t="s">
        <v>56</v>
      </c>
      <c r="C17" s="82" t="s">
        <v>54</v>
      </c>
      <c r="D17" s="82" t="s">
        <v>127</v>
      </c>
      <c r="E17" s="82" t="s">
        <v>55</v>
      </c>
      <c r="F17" s="79"/>
      <c r="G17" s="80"/>
      <c r="H17" s="80"/>
      <c r="I17" s="80"/>
      <c r="J17" s="80"/>
      <c r="K17" s="81"/>
      <c r="L17" s="81"/>
      <c r="M17" s="81"/>
      <c r="N17" s="81"/>
    </row>
    <row r="18" spans="1:14" ht="18" customHeight="1" x14ac:dyDescent="0.3">
      <c r="A18" s="109" t="s">
        <v>158</v>
      </c>
      <c r="B18" s="110">
        <f>Scenarios!D5</f>
        <v>55</v>
      </c>
      <c r="C18" s="110">
        <f>Scenarios!D3</f>
        <v>90</v>
      </c>
      <c r="D18" s="110">
        <f>Scenarios!D6</f>
        <v>95</v>
      </c>
      <c r="E18" s="110">
        <f>Scenarios!D4</f>
        <v>100</v>
      </c>
      <c r="F18" s="79"/>
      <c r="G18" s="80"/>
      <c r="H18" s="80"/>
      <c r="I18" s="80"/>
      <c r="J18" s="80"/>
      <c r="K18" s="81"/>
      <c r="L18" s="81"/>
      <c r="M18" s="81"/>
      <c r="N18" s="81"/>
    </row>
    <row r="19" spans="1:14" ht="18" customHeight="1" x14ac:dyDescent="0.3">
      <c r="A19" s="79" t="s">
        <v>182</v>
      </c>
      <c r="B19" s="83">
        <f>Scenarios!D12</f>
        <v>2.2000000000000002</v>
      </c>
      <c r="C19" s="83">
        <f>Scenarios!D10</f>
        <v>2.6</v>
      </c>
      <c r="D19" s="83">
        <f>Scenarios!D13</f>
        <v>3</v>
      </c>
      <c r="E19" s="83">
        <f>Scenarios!D11</f>
        <v>3.2</v>
      </c>
      <c r="F19" s="79"/>
      <c r="G19" s="80"/>
      <c r="H19" s="80"/>
      <c r="I19" s="80"/>
      <c r="J19" s="80"/>
      <c r="K19" s="81"/>
      <c r="L19" s="81"/>
      <c r="M19" s="81"/>
      <c r="N19" s="81"/>
    </row>
    <row r="20" spans="1:14" ht="18" customHeight="1" x14ac:dyDescent="0.3">
      <c r="A20" s="109"/>
      <c r="B20" s="111"/>
      <c r="C20" s="111"/>
      <c r="D20" s="111"/>
      <c r="E20" s="111"/>
      <c r="F20" s="79"/>
      <c r="G20" s="80"/>
      <c r="H20" s="80"/>
      <c r="I20" s="80"/>
      <c r="J20" s="80"/>
      <c r="K20" s="81"/>
      <c r="L20" s="81"/>
      <c r="M20" s="81"/>
      <c r="N20" s="81"/>
    </row>
    <row r="21" spans="1:14" ht="18" customHeight="1" x14ac:dyDescent="0.3">
      <c r="A21" s="79" t="s">
        <v>183</v>
      </c>
      <c r="B21" s="86">
        <f>Model!E106</f>
        <v>7.8288074341682785</v>
      </c>
      <c r="C21" s="86">
        <f>Model!C106</f>
        <v>15.630599576140241</v>
      </c>
      <c r="D21" s="86">
        <f>Model!F106</f>
        <v>17.035731918866201</v>
      </c>
      <c r="E21" s="86">
        <f>Model!D106</f>
        <v>18.271353073499679</v>
      </c>
      <c r="F21" s="79"/>
      <c r="G21" s="80"/>
      <c r="H21" s="80"/>
      <c r="I21" s="80"/>
      <c r="J21" s="80"/>
      <c r="K21" s="81"/>
      <c r="L21" s="81"/>
      <c r="M21" s="81"/>
      <c r="N21" s="81"/>
    </row>
    <row r="22" spans="1:14" ht="18" customHeight="1" x14ac:dyDescent="0.3">
      <c r="A22" s="109" t="s">
        <v>168</v>
      </c>
      <c r="B22" s="112">
        <f>Model!C97</f>
        <v>1.574021649967891</v>
      </c>
      <c r="C22" s="112">
        <f>Model!C98</f>
        <v>6.1033836778665824</v>
      </c>
      <c r="D22" s="112">
        <f>Model!C99</f>
        <v>6.9712842583383123</v>
      </c>
      <c r="E22" s="112">
        <f>Model!C100</f>
        <v>7.710356335859756</v>
      </c>
      <c r="F22" s="79"/>
      <c r="G22" s="80"/>
      <c r="H22" s="80"/>
      <c r="I22" s="80"/>
      <c r="J22" s="80"/>
      <c r="K22" s="81"/>
      <c r="L22" s="81"/>
      <c r="M22" s="81"/>
      <c r="N22" s="81"/>
    </row>
    <row r="23" spans="1:14" ht="18" customHeight="1" x14ac:dyDescent="0.3">
      <c r="A23" s="79"/>
      <c r="B23" s="80"/>
      <c r="C23" s="80"/>
      <c r="D23" s="80"/>
      <c r="E23" s="80"/>
      <c r="F23" s="79"/>
      <c r="G23" s="80"/>
      <c r="H23" s="80"/>
      <c r="I23" s="80"/>
      <c r="J23" s="80"/>
      <c r="K23" s="81"/>
      <c r="L23" s="81"/>
      <c r="M23" s="81"/>
      <c r="N23" s="81"/>
    </row>
    <row r="24" spans="1:14" ht="18" customHeight="1" x14ac:dyDescent="0.3">
      <c r="A24" s="89" t="s">
        <v>156</v>
      </c>
      <c r="B24" s="113">
        <f>Model!D97</f>
        <v>64.5842232167426</v>
      </c>
      <c r="C24" s="113">
        <f>Model!D98</f>
        <v>152.72698986802777</v>
      </c>
      <c r="D24" s="113">
        <f>Model!D99</f>
        <v>172.81922481371984</v>
      </c>
      <c r="E24" s="113">
        <f>Model!D100</f>
        <v>196.42264432081865</v>
      </c>
      <c r="F24" s="79"/>
      <c r="G24" s="80"/>
      <c r="H24" s="80"/>
      <c r="I24" s="80"/>
      <c r="J24" s="80"/>
      <c r="K24" s="81"/>
      <c r="L24" s="81"/>
      <c r="M24" s="81"/>
      <c r="N24" s="81"/>
    </row>
    <row r="25" spans="1:14" ht="18" customHeight="1" x14ac:dyDescent="0.3">
      <c r="A25" s="79" t="s">
        <v>157</v>
      </c>
      <c r="B25" s="83">
        <f>Model!E111</f>
        <v>71.330446088750989</v>
      </c>
      <c r="C25" s="83">
        <f>Model!C111</f>
        <v>150.79314383105802</v>
      </c>
      <c r="D25" s="83">
        <f>Model!F111</f>
        <v>165.10467695141497</v>
      </c>
      <c r="E25" s="83">
        <f>Model!D111</f>
        <v>177.68970723008931</v>
      </c>
      <c r="F25" s="79"/>
      <c r="G25" s="80"/>
      <c r="H25" s="80"/>
      <c r="I25" s="80"/>
      <c r="J25" s="80"/>
      <c r="K25" s="81"/>
      <c r="L25" s="81"/>
      <c r="M25" s="81"/>
      <c r="N25" s="81"/>
    </row>
    <row r="26" spans="1:14" ht="18" customHeight="1" x14ac:dyDescent="0.3">
      <c r="A26" s="109" t="s">
        <v>117</v>
      </c>
      <c r="B26" s="114">
        <f ca="1">(Model!D97-$B$5)/$B$5</f>
        <v>-0.53446101624203413</v>
      </c>
      <c r="C26" s="114">
        <f ca="1">(Model!D98-$B$5)/$B$5</f>
        <v>0.10089374949922715</v>
      </c>
      <c r="D26" s="114">
        <f ca="1">(Model!D99-$B$5)/$B$5</f>
        <v>0.24572352637295361</v>
      </c>
      <c r="E26" s="114">
        <f ca="1">(Model!D100-$B$5)/$B$5</f>
        <v>0.41586278613723537</v>
      </c>
      <c r="F26" s="79"/>
      <c r="G26" s="80"/>
      <c r="H26" s="80"/>
      <c r="I26" s="80"/>
      <c r="J26" s="80"/>
      <c r="K26" s="81"/>
      <c r="L26" s="81"/>
      <c r="M26" s="81"/>
      <c r="N26" s="81"/>
    </row>
    <row r="27" spans="1:14" ht="18" customHeight="1" x14ac:dyDescent="0.3">
      <c r="A27" s="79" t="s">
        <v>153</v>
      </c>
      <c r="B27" s="88">
        <f>Model!G97</f>
        <v>0.2</v>
      </c>
      <c r="C27" s="88">
        <f>Model!G98</f>
        <v>0.45</v>
      </c>
      <c r="D27" s="88">
        <f>Model!G99</f>
        <v>0.15</v>
      </c>
      <c r="E27" s="88">
        <f>Model!G100</f>
        <v>0.2</v>
      </c>
      <c r="F27" s="79"/>
      <c r="G27" s="80"/>
      <c r="H27" s="80"/>
      <c r="I27" s="80"/>
      <c r="J27" s="80"/>
      <c r="K27" s="81"/>
      <c r="L27" s="81"/>
      <c r="M27" s="81"/>
      <c r="N27" s="81"/>
    </row>
    <row r="28" spans="1:14" ht="18" customHeight="1" x14ac:dyDescent="0.3">
      <c r="A28" s="89" t="s">
        <v>118</v>
      </c>
      <c r="B28" s="113"/>
      <c r="C28" s="113">
        <f>Model!D101</f>
        <v>146.85140267018272</v>
      </c>
      <c r="D28" s="113"/>
      <c r="E28" s="113"/>
      <c r="F28" s="79"/>
      <c r="G28" s="80"/>
      <c r="H28" s="80"/>
      <c r="I28" s="80"/>
      <c r="J28" s="80"/>
      <c r="K28" s="81"/>
      <c r="L28" s="81"/>
      <c r="M28" s="81"/>
      <c r="N28" s="81"/>
    </row>
    <row r="29" spans="1:14" ht="18" customHeight="1" x14ac:dyDescent="0.3">
      <c r="A29" s="79"/>
      <c r="B29" s="80"/>
      <c r="C29" s="80"/>
      <c r="D29" s="80"/>
      <c r="E29" s="80"/>
      <c r="F29" s="79"/>
      <c r="G29" s="80"/>
      <c r="H29" s="80"/>
      <c r="I29" s="80"/>
      <c r="J29" s="80"/>
      <c r="K29" s="81"/>
      <c r="L29" s="81"/>
      <c r="M29" s="81"/>
      <c r="N29" s="81"/>
    </row>
    <row r="30" spans="1:14" ht="16.05" customHeight="1" x14ac:dyDescent="0.3">
      <c r="A30" s="79"/>
      <c r="B30" s="80"/>
      <c r="C30" s="80"/>
      <c r="D30" s="80"/>
      <c r="E30" s="80"/>
      <c r="F30" s="79"/>
      <c r="G30" s="80"/>
      <c r="H30" s="80"/>
      <c r="I30" s="80"/>
      <c r="J30" s="80"/>
      <c r="K30" s="81"/>
      <c r="L30" s="81"/>
      <c r="M30" s="81"/>
      <c r="N30" s="81"/>
    </row>
    <row r="31" spans="1:14" ht="19.95" customHeight="1" x14ac:dyDescent="0.3">
      <c r="A31" s="17" t="s">
        <v>186</v>
      </c>
      <c r="B31" s="17"/>
      <c r="C31" s="17"/>
      <c r="D31" s="17"/>
      <c r="E31" s="17"/>
      <c r="F31" s="17"/>
      <c r="G31" s="17"/>
      <c r="H31" s="17"/>
      <c r="I31" s="17"/>
      <c r="J31" s="17"/>
      <c r="K31" s="17"/>
      <c r="L31" s="17"/>
      <c r="M31" s="17"/>
      <c r="N31" s="17"/>
    </row>
    <row r="32" spans="1:14" ht="18" customHeight="1" x14ac:dyDescent="0.3">
      <c r="A32" s="89" t="s">
        <v>187</v>
      </c>
      <c r="B32" s="91">
        <v>7.4999999999999997E-2</v>
      </c>
      <c r="C32" s="91">
        <v>0.08</v>
      </c>
      <c r="D32" s="91">
        <v>8.5000000000000006E-2</v>
      </c>
      <c r="E32" s="91">
        <v>0.09</v>
      </c>
      <c r="F32" s="92">
        <v>9.5000000000000001E-2</v>
      </c>
      <c r="G32" s="91"/>
      <c r="H32" s="80"/>
      <c r="I32" s="80"/>
      <c r="J32" s="80"/>
      <c r="K32" s="81"/>
      <c r="L32" s="81"/>
      <c r="M32" s="81"/>
      <c r="N32" s="81"/>
    </row>
    <row r="33" spans="1:14" ht="18" customHeight="1" x14ac:dyDescent="0.3">
      <c r="A33" s="93" t="s">
        <v>188</v>
      </c>
      <c r="B33" s="94">
        <f>Model!C84</f>
        <v>73.026588794996997</v>
      </c>
      <c r="C33" s="94">
        <f>Model!D84</f>
        <v>66.249479849367745</v>
      </c>
      <c r="D33" s="94">
        <f>Model!E84</f>
        <v>60.516525080806268</v>
      </c>
      <c r="E33" s="94">
        <f>Model!F84</f>
        <v>55.603943187012383</v>
      </c>
      <c r="F33" s="95">
        <f>Model!G84</f>
        <v>51.34762875021908</v>
      </c>
      <c r="G33" s="80"/>
      <c r="H33" s="80"/>
      <c r="I33" s="80"/>
      <c r="J33" s="80"/>
      <c r="K33" s="81"/>
      <c r="L33" s="81"/>
      <c r="M33" s="81"/>
      <c r="N33" s="81"/>
    </row>
    <row r="34" spans="1:14" ht="18" customHeight="1" x14ac:dyDescent="0.3">
      <c r="A34" s="79" t="s">
        <v>189</v>
      </c>
      <c r="B34" s="86">
        <f>Model!C85</f>
        <v>96.025560460272843</v>
      </c>
      <c r="C34" s="86">
        <f>Model!D85</f>
        <v>87.364513076823044</v>
      </c>
      <c r="D34" s="86">
        <f>Model!E85</f>
        <v>80.037547840900501</v>
      </c>
      <c r="E34" s="86">
        <f>Model!F85</f>
        <v>73.758752780402716</v>
      </c>
      <c r="F34" s="96">
        <f>Model!G85</f>
        <v>68.318460079759262</v>
      </c>
      <c r="G34" s="80"/>
      <c r="H34" s="80"/>
      <c r="I34" s="80"/>
      <c r="J34" s="80"/>
      <c r="K34" s="81"/>
      <c r="L34" s="81"/>
      <c r="M34" s="81"/>
      <c r="N34" s="81"/>
    </row>
    <row r="35" spans="1:14" ht="18" customHeight="1" x14ac:dyDescent="0.3">
      <c r="A35" s="79" t="s">
        <v>190</v>
      </c>
      <c r="B35" s="86">
        <f>Model!C86</f>
        <v>119.02453212554873</v>
      </c>
      <c r="C35" s="86">
        <f>Model!D86</f>
        <v>108.47954630427839</v>
      </c>
      <c r="D35" s="86">
        <f>Model!E86</f>
        <v>99.55857060099477</v>
      </c>
      <c r="E35" s="86">
        <f>Model!F86</f>
        <v>91.913562373793056</v>
      </c>
      <c r="F35" s="96">
        <f>Model!G86</f>
        <v>85.289291409299437</v>
      </c>
      <c r="G35" s="80"/>
      <c r="H35" s="80"/>
      <c r="I35" s="80"/>
      <c r="J35" s="80"/>
      <c r="K35" s="81"/>
      <c r="L35" s="81"/>
      <c r="M35" s="81"/>
      <c r="N35" s="81"/>
    </row>
    <row r="36" spans="1:14" ht="18" customHeight="1" x14ac:dyDescent="0.3">
      <c r="A36" s="79" t="s">
        <v>191</v>
      </c>
      <c r="B36" s="86">
        <f>Model!C87</f>
        <v>142.02350379082461</v>
      </c>
      <c r="C36" s="86">
        <f>Model!D87</f>
        <v>129.5945795317337</v>
      </c>
      <c r="D36" s="86">
        <f>Model!E87</f>
        <v>119.07959336108902</v>
      </c>
      <c r="E36" s="86">
        <f>Model!F87</f>
        <v>110.06837196718341</v>
      </c>
      <c r="F36" s="96">
        <f>Model!G87</f>
        <v>102.26012273883963</v>
      </c>
      <c r="G36" s="80"/>
      <c r="H36" s="80"/>
      <c r="I36" s="80"/>
      <c r="J36" s="80"/>
      <c r="K36" s="81"/>
      <c r="L36" s="81"/>
      <c r="M36" s="81"/>
      <c r="N36" s="81"/>
    </row>
    <row r="37" spans="1:14" ht="18" customHeight="1" x14ac:dyDescent="0.3">
      <c r="A37" s="79" t="s">
        <v>192</v>
      </c>
      <c r="B37" s="86">
        <f>Model!C88</f>
        <v>165.02247545610044</v>
      </c>
      <c r="C37" s="86">
        <f>Model!D88</f>
        <v>150.70961275918904</v>
      </c>
      <c r="D37" s="86">
        <f>Model!E88</f>
        <v>138.60061612118326</v>
      </c>
      <c r="E37" s="86">
        <f>Model!F88</f>
        <v>128.22318156057372</v>
      </c>
      <c r="F37" s="96">
        <f>Model!G88</f>
        <v>119.23095406837982</v>
      </c>
      <c r="G37" s="80"/>
      <c r="H37" s="80"/>
      <c r="I37" s="80"/>
      <c r="J37" s="80"/>
      <c r="K37" s="81"/>
      <c r="L37" s="81"/>
      <c r="M37" s="81"/>
      <c r="N37" s="81"/>
    </row>
    <row r="38" spans="1:14" ht="18" customHeight="1" x14ac:dyDescent="0.3">
      <c r="A38" s="79" t="s">
        <v>193</v>
      </c>
      <c r="B38" s="86">
        <f>Model!C89</f>
        <v>188.02144712137635</v>
      </c>
      <c r="C38" s="86">
        <f>Model!D89</f>
        <v>171.82464598664438</v>
      </c>
      <c r="D38" s="86">
        <f>Model!E89</f>
        <v>158.12163888127753</v>
      </c>
      <c r="E38" s="86">
        <f>Model!F89</f>
        <v>146.37799115396402</v>
      </c>
      <c r="F38" s="96">
        <f>Model!G89</f>
        <v>136.20178539791999</v>
      </c>
      <c r="G38" s="80"/>
      <c r="H38" s="80"/>
      <c r="I38" s="80"/>
      <c r="J38" s="80"/>
      <c r="K38" s="81"/>
      <c r="L38" s="81"/>
      <c r="M38" s="81"/>
      <c r="N38" s="81"/>
    </row>
    <row r="39" spans="1:14" ht="18" customHeight="1" x14ac:dyDescent="0.3">
      <c r="A39" s="79" t="s">
        <v>194</v>
      </c>
      <c r="B39" s="86">
        <f>Model!C90</f>
        <v>211.02041878665213</v>
      </c>
      <c r="C39" s="86">
        <f>Model!D90</f>
        <v>192.93967921409967</v>
      </c>
      <c r="D39" s="86">
        <f>Model!E90</f>
        <v>177.64266164137175</v>
      </c>
      <c r="E39" s="86">
        <f>Model!F90</f>
        <v>164.53280074735432</v>
      </c>
      <c r="F39" s="96">
        <f>Model!G90</f>
        <v>153.17261672746017</v>
      </c>
      <c r="G39" s="80"/>
      <c r="H39" s="80"/>
      <c r="I39" s="80"/>
      <c r="J39" s="80"/>
      <c r="K39" s="81"/>
      <c r="L39" s="81"/>
      <c r="M39" s="81"/>
      <c r="N39" s="81"/>
    </row>
    <row r="40" spans="1:14" ht="18" customHeight="1" x14ac:dyDescent="0.3">
      <c r="A40" s="90" t="s">
        <v>195</v>
      </c>
      <c r="B40" s="97">
        <f>Model!C91</f>
        <v>234.0193904519281</v>
      </c>
      <c r="C40" s="97">
        <f>Model!D91</f>
        <v>214.05471244155507</v>
      </c>
      <c r="D40" s="97">
        <f>Model!E91</f>
        <v>197.16368440146604</v>
      </c>
      <c r="E40" s="97">
        <f>Model!F91</f>
        <v>182.68761034074473</v>
      </c>
      <c r="F40" s="98">
        <f>Model!G91</f>
        <v>170.1434480570004</v>
      </c>
      <c r="G40" s="80"/>
      <c r="H40" s="80"/>
      <c r="I40" s="80"/>
      <c r="J40" s="80"/>
      <c r="K40" s="81"/>
      <c r="L40" s="81"/>
      <c r="M40" s="81"/>
      <c r="N40" s="81"/>
    </row>
    <row r="41" spans="1:14" ht="18" customHeight="1" x14ac:dyDescent="0.3">
      <c r="A41" s="93" t="s">
        <v>196</v>
      </c>
      <c r="B41" s="94">
        <f>Model!C92</f>
        <v>257.01836211720394</v>
      </c>
      <c r="C41" s="94">
        <f>Model!D92</f>
        <v>235.1697456690103</v>
      </c>
      <c r="D41" s="94">
        <f>Model!E92</f>
        <v>216.6847071615602</v>
      </c>
      <c r="E41" s="94">
        <f>Model!F92</f>
        <v>200.84241993413497</v>
      </c>
      <c r="F41" s="95">
        <f>Model!G92</f>
        <v>187.11427938654049</v>
      </c>
      <c r="G41" s="80"/>
      <c r="H41" s="80"/>
      <c r="I41" s="80"/>
      <c r="J41" s="80"/>
      <c r="K41" s="81"/>
      <c r="L41" s="81"/>
      <c r="M41" s="81"/>
      <c r="N41" s="81"/>
    </row>
    <row r="42" spans="1:14" ht="18" customHeight="1" x14ac:dyDescent="0.3">
      <c r="A42" s="93" t="s">
        <v>197</v>
      </c>
      <c r="B42" s="94">
        <f>Model!C93</f>
        <v>280.0173337824798</v>
      </c>
      <c r="C42" s="94">
        <f>Model!D93</f>
        <v>256.2847788964657</v>
      </c>
      <c r="D42" s="94">
        <f>Model!E93</f>
        <v>236.20572992165447</v>
      </c>
      <c r="E42" s="94">
        <f>Model!F93</f>
        <v>218.99722952752532</v>
      </c>
      <c r="F42" s="95">
        <f>Model!G93</f>
        <v>204.08511071608075</v>
      </c>
      <c r="G42" s="80"/>
      <c r="H42" s="80"/>
      <c r="I42" s="80"/>
      <c r="J42" s="80"/>
      <c r="K42" s="81"/>
      <c r="L42" s="81"/>
      <c r="M42" s="81"/>
      <c r="N42" s="81"/>
    </row>
    <row r="43" spans="1:14" ht="18" customHeight="1" x14ac:dyDescent="0.3">
      <c r="A43" s="79"/>
      <c r="B43" s="80"/>
      <c r="C43" s="80"/>
      <c r="D43" s="80"/>
      <c r="E43" s="80"/>
      <c r="F43" s="79"/>
      <c r="G43" s="80"/>
      <c r="H43" s="80"/>
      <c r="I43" s="80"/>
      <c r="J43" s="80"/>
      <c r="K43" s="81"/>
      <c r="L43" s="81"/>
      <c r="M43" s="81"/>
      <c r="N43" s="81"/>
    </row>
    <row r="44" spans="1:14" ht="18" customHeight="1" x14ac:dyDescent="0.3">
      <c r="A44" s="79"/>
      <c r="B44" s="80"/>
      <c r="C44" s="80"/>
      <c r="D44" s="80"/>
      <c r="E44" s="80"/>
      <c r="F44" s="79"/>
      <c r="G44" s="80"/>
      <c r="H44" s="80"/>
      <c r="I44" s="80"/>
      <c r="J44" s="80"/>
      <c r="K44" s="81"/>
      <c r="L44" s="81"/>
      <c r="M44" s="81"/>
      <c r="N44" s="81"/>
    </row>
    <row r="45" spans="1:14" ht="19.95" customHeight="1" x14ac:dyDescent="0.3">
      <c r="A45" s="17" t="s">
        <v>159</v>
      </c>
      <c r="B45" s="17"/>
      <c r="C45" s="17"/>
      <c r="D45" s="17"/>
      <c r="E45" s="17"/>
      <c r="F45" s="17"/>
      <c r="G45" s="17"/>
      <c r="H45" s="17"/>
      <c r="I45" s="17"/>
      <c r="J45" s="17"/>
      <c r="K45" s="17"/>
      <c r="L45" s="17"/>
      <c r="M45" s="17"/>
      <c r="N45" s="17"/>
    </row>
    <row r="46" spans="1:14" ht="18" customHeight="1" x14ac:dyDescent="0.3">
      <c r="A46" s="89" t="s">
        <v>16</v>
      </c>
      <c r="B46" s="82" t="s">
        <v>56</v>
      </c>
      <c r="C46" s="82" t="s">
        <v>54</v>
      </c>
      <c r="D46" s="82" t="s">
        <v>127</v>
      </c>
      <c r="E46" s="82" t="s">
        <v>55</v>
      </c>
      <c r="F46" s="79"/>
      <c r="G46" s="80"/>
      <c r="H46" s="80"/>
      <c r="I46" s="80"/>
      <c r="J46" s="80"/>
      <c r="K46" s="81"/>
      <c r="L46" s="81"/>
      <c r="M46" s="81"/>
      <c r="N46" s="81"/>
    </row>
    <row r="47" spans="1:14" ht="18" customHeight="1" x14ac:dyDescent="0.3">
      <c r="A47" s="79" t="s">
        <v>183</v>
      </c>
      <c r="B47" s="86">
        <f>Model!E106</f>
        <v>7.8288074341682785</v>
      </c>
      <c r="C47" s="86">
        <f>Model!C106</f>
        <v>15.630599576140241</v>
      </c>
      <c r="D47" s="86">
        <f>Model!F106</f>
        <v>17.035731918866201</v>
      </c>
      <c r="E47" s="86">
        <f>Model!D106</f>
        <v>18.271353073499679</v>
      </c>
      <c r="F47" s="79"/>
      <c r="G47" s="80"/>
      <c r="H47" s="80"/>
      <c r="I47" s="80"/>
      <c r="J47" s="80"/>
      <c r="K47" s="81"/>
      <c r="L47" s="81"/>
      <c r="M47" s="81"/>
      <c r="N47" s="81"/>
    </row>
    <row r="48" spans="1:14" ht="18" customHeight="1" x14ac:dyDescent="0.3">
      <c r="A48" s="79" t="s">
        <v>198</v>
      </c>
      <c r="B48" s="99">
        <f>Model!E107</f>
        <v>5.5</v>
      </c>
      <c r="C48" s="99">
        <f>Model!C107</f>
        <v>5.5</v>
      </c>
      <c r="D48" s="99">
        <f>Model!F107</f>
        <v>5.5</v>
      </c>
      <c r="E48" s="99">
        <f>Model!D107</f>
        <v>5.5</v>
      </c>
      <c r="F48" s="79"/>
      <c r="G48" s="80"/>
      <c r="H48" s="80"/>
      <c r="I48" s="80"/>
      <c r="J48" s="80"/>
      <c r="K48" s="81"/>
      <c r="L48" s="81"/>
      <c r="M48" s="81"/>
      <c r="N48" s="81"/>
    </row>
    <row r="49" spans="1:14" ht="18" customHeight="1" x14ac:dyDescent="0.3">
      <c r="A49" s="79" t="s">
        <v>148</v>
      </c>
      <c r="B49" s="86">
        <f>Model!E108</f>
        <v>43.058440887925535</v>
      </c>
      <c r="C49" s="86">
        <f>Model!C108</f>
        <v>85.968297668771328</v>
      </c>
      <c r="D49" s="86">
        <f>Model!F108</f>
        <v>93.696525553764104</v>
      </c>
      <c r="E49" s="86">
        <f>Model!D108</f>
        <v>100.49244190424824</v>
      </c>
      <c r="F49" s="79"/>
      <c r="G49" s="80"/>
      <c r="H49" s="80"/>
      <c r="I49" s="80"/>
      <c r="J49" s="80"/>
      <c r="K49" s="81"/>
      <c r="L49" s="81"/>
      <c r="M49" s="81"/>
      <c r="N49" s="81"/>
    </row>
    <row r="50" spans="1:14" ht="18" customHeight="1" x14ac:dyDescent="0.3">
      <c r="A50" s="79" t="s">
        <v>199</v>
      </c>
      <c r="B50" s="86">
        <f>Model!E109</f>
        <v>-4.5400000000000009</v>
      </c>
      <c r="C50" s="86">
        <f>Model!C109</f>
        <v>-4.5400000000000009</v>
      </c>
      <c r="D50" s="86">
        <f>Model!F109</f>
        <v>-4.5400000000000009</v>
      </c>
      <c r="E50" s="86">
        <f>Model!D109</f>
        <v>-4.5400000000000009</v>
      </c>
      <c r="F50" s="79"/>
      <c r="G50" s="80"/>
      <c r="H50" s="80"/>
      <c r="I50" s="80"/>
      <c r="J50" s="80"/>
      <c r="K50" s="81"/>
      <c r="L50" s="81"/>
      <c r="M50" s="81"/>
      <c r="N50" s="81"/>
    </row>
    <row r="51" spans="1:14" ht="18" customHeight="1" x14ac:dyDescent="0.3">
      <c r="A51" s="79"/>
      <c r="B51" s="80"/>
      <c r="C51" s="80"/>
      <c r="D51" s="80"/>
      <c r="E51" s="80"/>
      <c r="F51" s="79"/>
      <c r="G51" s="80"/>
      <c r="H51" s="80"/>
      <c r="I51" s="80"/>
      <c r="J51" s="80"/>
      <c r="K51" s="81"/>
      <c r="L51" s="81"/>
      <c r="M51" s="81"/>
      <c r="N51" s="81"/>
    </row>
    <row r="52" spans="1:14" ht="18" customHeight="1" x14ac:dyDescent="0.3">
      <c r="A52" s="90" t="s">
        <v>157</v>
      </c>
      <c r="B52" s="84">
        <f>Model!E111</f>
        <v>71.330446088750989</v>
      </c>
      <c r="C52" s="84">
        <f>Model!C111</f>
        <v>150.79314383105802</v>
      </c>
      <c r="D52" s="84">
        <f>Model!F111</f>
        <v>165.10467695141497</v>
      </c>
      <c r="E52" s="84">
        <f>Model!D111</f>
        <v>177.68970723008931</v>
      </c>
      <c r="F52" s="79"/>
      <c r="G52" s="80"/>
      <c r="H52" s="80"/>
      <c r="I52" s="80"/>
      <c r="J52" s="80"/>
      <c r="K52" s="81"/>
      <c r="L52" s="81"/>
      <c r="M52" s="81"/>
      <c r="N52" s="81"/>
    </row>
    <row r="53" spans="1:14" ht="18" customHeight="1" x14ac:dyDescent="0.3">
      <c r="A53" s="90" t="s">
        <v>156</v>
      </c>
      <c r="B53" s="84">
        <f>Model!D97</f>
        <v>64.5842232167426</v>
      </c>
      <c r="C53" s="84">
        <f>Model!D98</f>
        <v>152.72698986802777</v>
      </c>
      <c r="D53" s="84">
        <f>Model!D99</f>
        <v>172.81922481371984</v>
      </c>
      <c r="E53" s="84">
        <f>Model!D100</f>
        <v>196.42264432081865</v>
      </c>
      <c r="F53" s="79"/>
      <c r="G53" s="80"/>
      <c r="H53" s="80"/>
      <c r="I53" s="80"/>
      <c r="J53" s="80"/>
      <c r="K53" s="81"/>
      <c r="L53" s="81"/>
      <c r="M53" s="81"/>
      <c r="N53" s="81"/>
    </row>
    <row r="54" spans="1:14" ht="18" customHeight="1" x14ac:dyDescent="0.3">
      <c r="A54" s="79" t="s">
        <v>200</v>
      </c>
      <c r="B54" s="85">
        <f>Model!E113</f>
        <v>0.10445620518448107</v>
      </c>
      <c r="C54" s="85">
        <f>Model!C113</f>
        <v>-1.266211059774569E-2</v>
      </c>
      <c r="D54" s="85">
        <f>Model!F113</f>
        <v>-4.4639407858820701E-2</v>
      </c>
      <c r="E54" s="85">
        <f>Model!D113</f>
        <v>-9.5370557480799811E-2</v>
      </c>
      <c r="F54" s="79"/>
      <c r="G54" s="80"/>
      <c r="H54" s="80"/>
      <c r="I54" s="80"/>
      <c r="J54" s="80"/>
      <c r="K54" s="81"/>
      <c r="L54" s="81"/>
      <c r="M54" s="81"/>
      <c r="N54" s="81"/>
    </row>
    <row r="55" spans="1:14" ht="18" customHeight="1" x14ac:dyDescent="0.3">
      <c r="A55" s="79"/>
      <c r="B55" s="80"/>
      <c r="C55" s="80"/>
      <c r="D55" s="80"/>
      <c r="E55" s="80"/>
      <c r="F55" s="79"/>
      <c r="G55" s="80"/>
      <c r="H55" s="80"/>
      <c r="I55" s="80"/>
      <c r="J55" s="80"/>
      <c r="K55" s="81"/>
      <c r="L55" s="81"/>
      <c r="M55" s="81"/>
      <c r="N55" s="81"/>
    </row>
    <row r="56" spans="1:14" ht="18" customHeight="1" x14ac:dyDescent="0.3">
      <c r="A56" s="89" t="s">
        <v>201</v>
      </c>
      <c r="B56" s="82"/>
      <c r="C56" s="82"/>
      <c r="D56" s="82"/>
      <c r="E56" s="82"/>
      <c r="F56" s="79"/>
      <c r="G56" s="80"/>
      <c r="H56" s="80"/>
      <c r="I56" s="80"/>
      <c r="J56" s="80"/>
      <c r="K56" s="81"/>
      <c r="L56" s="81"/>
      <c r="M56" s="81"/>
      <c r="N56" s="81"/>
    </row>
    <row r="57" spans="1:14" ht="18" customHeight="1" x14ac:dyDescent="0.3">
      <c r="A57" s="79" t="s">
        <v>202</v>
      </c>
      <c r="B57" s="86"/>
      <c r="C57" s="86">
        <f>Model!B73</f>
        <v>87.012574528735001</v>
      </c>
      <c r="D57" s="86"/>
      <c r="E57" s="86"/>
      <c r="F57" s="79"/>
      <c r="G57" s="80"/>
      <c r="H57" s="80"/>
      <c r="I57" s="80"/>
      <c r="J57" s="80"/>
      <c r="K57" s="81"/>
      <c r="L57" s="81"/>
      <c r="M57" s="81"/>
      <c r="N57" s="81"/>
    </row>
    <row r="58" spans="1:14" ht="18" customHeight="1" x14ac:dyDescent="0.3">
      <c r="A58" s="79" t="s">
        <v>203</v>
      </c>
      <c r="B58" s="85"/>
      <c r="C58" s="85">
        <f>Model!B78</f>
        <v>0.62274675242233479</v>
      </c>
      <c r="D58" s="85"/>
      <c r="E58" s="85"/>
      <c r="F58" s="79"/>
      <c r="G58" s="80"/>
      <c r="H58" s="80"/>
      <c r="I58" s="80"/>
      <c r="J58" s="80"/>
      <c r="K58" s="81"/>
      <c r="L58" s="81"/>
      <c r="M58" s="81"/>
      <c r="N58" s="81"/>
    </row>
    <row r="59" spans="1:14" ht="18" customHeight="1" x14ac:dyDescent="0.3">
      <c r="A59" s="79" t="s">
        <v>204</v>
      </c>
      <c r="B59" s="85"/>
      <c r="C59" s="85">
        <f>Model!B79</f>
        <v>7.0143697171619751E-2</v>
      </c>
      <c r="D59" s="85"/>
      <c r="E59" s="85"/>
      <c r="F59" s="79"/>
      <c r="G59" s="80"/>
      <c r="H59" s="80"/>
      <c r="I59" s="80"/>
      <c r="J59" s="80"/>
      <c r="K59" s="81"/>
      <c r="L59" s="81"/>
      <c r="M59" s="81"/>
      <c r="N59" s="81"/>
    </row>
    <row r="60" spans="1:14" ht="18" customHeight="1" x14ac:dyDescent="0.3">
      <c r="A60" s="79"/>
      <c r="B60" s="80"/>
      <c r="C60" s="80"/>
      <c r="D60" s="80"/>
      <c r="E60" s="80"/>
      <c r="F60" s="79"/>
      <c r="G60" s="80"/>
      <c r="H60" s="80"/>
      <c r="I60" s="80"/>
      <c r="J60" s="80"/>
      <c r="K60" s="81"/>
      <c r="L60" s="81"/>
      <c r="M60" s="81"/>
      <c r="N60" s="81"/>
    </row>
    <row r="61" spans="1:14" ht="16.05" customHeight="1" x14ac:dyDescent="0.3">
      <c r="A61"/>
    </row>
    <row r="62" spans="1:14" ht="16.05" customHeight="1" x14ac:dyDescent="0.3">
      <c r="A62"/>
    </row>
    <row r="63" spans="1:14" ht="16.05" customHeight="1" x14ac:dyDescent="0.3">
      <c r="A63"/>
    </row>
    <row r="64" spans="1:14" ht="16.05" customHeight="1" x14ac:dyDescent="0.3">
      <c r="A64"/>
    </row>
    <row r="65" spans="1:1" ht="16.05" customHeight="1" x14ac:dyDescent="0.3">
      <c r="A65"/>
    </row>
    <row r="66" spans="1:1" ht="16.05" customHeight="1" x14ac:dyDescent="0.3">
      <c r="A66"/>
    </row>
    <row r="67" spans="1:1" ht="16.05" customHeight="1" x14ac:dyDescent="0.3">
      <c r="A67"/>
    </row>
    <row r="68" spans="1:1" ht="16.05" customHeight="1" x14ac:dyDescent="0.3">
      <c r="A68"/>
    </row>
    <row r="69" spans="1:1" ht="16.05" customHeight="1" x14ac:dyDescent="0.3">
      <c r="A69"/>
    </row>
    <row r="70" spans="1:1" ht="16.05" customHeight="1" x14ac:dyDescent="0.3">
      <c r="A70"/>
    </row>
    <row r="71" spans="1:1" ht="16.05" customHeight="1" x14ac:dyDescent="0.3">
      <c r="A71"/>
    </row>
    <row r="72" spans="1:1" ht="16.05" customHeight="1" x14ac:dyDescent="0.3">
      <c r="A72"/>
    </row>
    <row r="73" spans="1:1" ht="16.05" customHeight="1" x14ac:dyDescent="0.3">
      <c r="A73"/>
    </row>
    <row r="74" spans="1:1" ht="16.05" customHeight="1" x14ac:dyDescent="0.3">
      <c r="A74"/>
    </row>
    <row r="75" spans="1:1" ht="16.05" customHeight="1" x14ac:dyDescent="0.3">
      <c r="A75"/>
    </row>
    <row r="76" spans="1:1" ht="16.05" customHeight="1" x14ac:dyDescent="0.3">
      <c r="A76"/>
    </row>
    <row r="77" spans="1:1" ht="16.05" customHeight="1" x14ac:dyDescent="0.3">
      <c r="A77"/>
    </row>
    <row r="78" spans="1:1" ht="16.05" customHeight="1" x14ac:dyDescent="0.3">
      <c r="A78"/>
    </row>
    <row r="79" spans="1:1" ht="16.05" customHeight="1" x14ac:dyDescent="0.3">
      <c r="A79"/>
    </row>
    <row r="80" spans="1:1" ht="16.05" customHeight="1" x14ac:dyDescent="0.3">
      <c r="A80"/>
    </row>
    <row r="81" spans="1:1" x14ac:dyDescent="0.3">
      <c r="A81"/>
    </row>
    <row r="82" spans="1:1" x14ac:dyDescent="0.3">
      <c r="A82"/>
    </row>
    <row r="83" spans="1:1" x14ac:dyDescent="0.3">
      <c r="A83"/>
    </row>
    <row r="84" spans="1:1" x14ac:dyDescent="0.3">
      <c r="A84"/>
    </row>
    <row r="85" spans="1:1" x14ac:dyDescent="0.3">
      <c r="A85"/>
    </row>
    <row r="86" spans="1:1" x14ac:dyDescent="0.3">
      <c r="A86"/>
    </row>
    <row r="87" spans="1:1" x14ac:dyDescent="0.3">
      <c r="A87"/>
    </row>
    <row r="88" spans="1:1" x14ac:dyDescent="0.3">
      <c r="A88"/>
    </row>
    <row r="89" spans="1:1" x14ac:dyDescent="0.3">
      <c r="A89"/>
    </row>
    <row r="90" spans="1:1" x14ac:dyDescent="0.3">
      <c r="A90"/>
    </row>
    <row r="91" spans="1:1" x14ac:dyDescent="0.3">
      <c r="A91"/>
    </row>
    <row r="92" spans="1:1" x14ac:dyDescent="0.3">
      <c r="A92"/>
    </row>
    <row r="93" spans="1:1" x14ac:dyDescent="0.3">
      <c r="A93"/>
    </row>
    <row r="94" spans="1:1" x14ac:dyDescent="0.3">
      <c r="A94"/>
    </row>
    <row r="95" spans="1:1" x14ac:dyDescent="0.3">
      <c r="A95"/>
    </row>
    <row r="96" spans="1:1" x14ac:dyDescent="0.3">
      <c r="A96"/>
    </row>
    <row r="97" spans="1:1" x14ac:dyDescent="0.3">
      <c r="A97"/>
    </row>
    <row r="98" spans="1:1" x14ac:dyDescent="0.3">
      <c r="A98"/>
    </row>
    <row r="99" spans="1:1" x14ac:dyDescent="0.3">
      <c r="A99"/>
    </row>
    <row r="100" spans="1:1" x14ac:dyDescent="0.3">
      <c r="A100"/>
    </row>
  </sheetData>
  <dataValidations count="1">
    <dataValidation type="list" allowBlank="1" showInputMessage="1" showErrorMessage="1" sqref="G13" xr:uid="{D629A997-0DA4-4FC7-A853-C3ADE63823C1}">
      <formula1>"Base,Bull,Bear,Conflict-Up"</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D89D8-8297-4101-8DFF-EE24186FB499}">
  <dimension ref="A1:N123"/>
  <sheetViews>
    <sheetView zoomScale="89" workbookViewId="0">
      <pane ySplit="1" topLeftCell="A58" activePane="bottomLeft" state="frozen"/>
      <selection pane="bottomLeft" activeCell="H68" sqref="H68"/>
    </sheetView>
  </sheetViews>
  <sheetFormatPr defaultRowHeight="14.4" x14ac:dyDescent="0.3"/>
  <cols>
    <col min="1" max="1" width="37" customWidth="1"/>
    <col min="2" max="2" width="15.77734375" customWidth="1"/>
    <col min="3" max="8" width="14.77734375" customWidth="1"/>
  </cols>
  <sheetData>
    <row r="1" spans="1:8" ht="22.05" customHeight="1" x14ac:dyDescent="0.3">
      <c r="A1" s="116" t="s">
        <v>160</v>
      </c>
      <c r="B1" s="116"/>
      <c r="C1" s="116"/>
      <c r="D1" s="116"/>
      <c r="E1" s="116"/>
      <c r="F1" s="116"/>
      <c r="G1" s="116"/>
      <c r="H1" s="15"/>
    </row>
    <row r="2" spans="1:8" x14ac:dyDescent="0.3">
      <c r="A2" s="18"/>
      <c r="B2" s="26"/>
      <c r="C2" s="26"/>
      <c r="D2" s="26"/>
      <c r="E2" s="26"/>
      <c r="F2" s="26"/>
      <c r="G2" s="26"/>
      <c r="H2" s="25"/>
    </row>
    <row r="3" spans="1:8" x14ac:dyDescent="0.3">
      <c r="A3" s="18" t="s">
        <v>44</v>
      </c>
      <c r="B3" s="27">
        <f ca="1">B4*Dashboard!B5/1000</f>
        <v>74.914199999999994</v>
      </c>
      <c r="C3" s="26"/>
      <c r="D3" s="26"/>
      <c r="E3" s="28" t="s">
        <v>76</v>
      </c>
      <c r="F3" s="28"/>
      <c r="G3" s="28"/>
      <c r="H3" s="25"/>
    </row>
    <row r="4" spans="1:8" x14ac:dyDescent="0.3">
      <c r="A4" s="18" t="s">
        <v>13</v>
      </c>
      <c r="B4" s="29">
        <v>540</v>
      </c>
      <c r="C4" s="26"/>
      <c r="D4" s="26"/>
      <c r="E4" s="26" t="s">
        <v>77</v>
      </c>
      <c r="F4" s="29">
        <v>522</v>
      </c>
      <c r="G4" s="26"/>
      <c r="H4" s="25"/>
    </row>
    <row r="5" spans="1:8" x14ac:dyDescent="0.3">
      <c r="A5" s="18" t="s">
        <v>122</v>
      </c>
      <c r="B5" s="27">
        <v>7.94</v>
      </c>
      <c r="C5" s="26"/>
      <c r="D5" s="26"/>
      <c r="E5" s="26" t="s">
        <v>78</v>
      </c>
      <c r="F5" s="29">
        <v>2532</v>
      </c>
      <c r="G5" s="26"/>
      <c r="H5" s="25"/>
    </row>
    <row r="6" spans="1:8" x14ac:dyDescent="0.3">
      <c r="A6" s="18" t="s">
        <v>48</v>
      </c>
      <c r="B6" s="27">
        <v>3.4</v>
      </c>
      <c r="C6" s="26"/>
      <c r="D6" s="26"/>
      <c r="E6" s="26" t="s">
        <v>79</v>
      </c>
      <c r="F6" s="29">
        <v>288</v>
      </c>
      <c r="G6" s="26"/>
      <c r="H6" s="25"/>
    </row>
    <row r="7" spans="1:8" x14ac:dyDescent="0.3">
      <c r="A7" s="18" t="s">
        <v>47</v>
      </c>
      <c r="B7" s="30">
        <v>0.24</v>
      </c>
      <c r="C7" s="26"/>
      <c r="D7" s="26"/>
      <c r="E7" s="26" t="s">
        <v>80</v>
      </c>
      <c r="F7" s="30">
        <v>0.05</v>
      </c>
      <c r="G7" s="26"/>
      <c r="H7" s="25"/>
    </row>
    <row r="8" spans="1:8" x14ac:dyDescent="0.3">
      <c r="A8" s="18" t="s">
        <v>31</v>
      </c>
      <c r="B8" s="27">
        <f>B5-B6</f>
        <v>4.5400000000000009</v>
      </c>
      <c r="C8" s="26"/>
      <c r="D8" s="26"/>
      <c r="E8" s="26" t="s">
        <v>81</v>
      </c>
      <c r="F8" s="31">
        <v>0.03</v>
      </c>
      <c r="G8" s="26"/>
      <c r="H8" s="25"/>
    </row>
    <row r="9" spans="1:8" x14ac:dyDescent="0.3">
      <c r="A9" s="18"/>
      <c r="B9" s="26"/>
      <c r="C9" s="26"/>
      <c r="D9" s="26"/>
      <c r="E9" s="26" t="s">
        <v>82</v>
      </c>
      <c r="F9" s="30">
        <v>0.21840000000000001</v>
      </c>
      <c r="G9" s="26"/>
      <c r="H9" s="25"/>
    </row>
    <row r="10" spans="1:8" x14ac:dyDescent="0.3">
      <c r="A10" s="19" t="s">
        <v>72</v>
      </c>
      <c r="B10" s="32">
        <v>4.4999999999999998E-2</v>
      </c>
      <c r="C10" s="26"/>
      <c r="D10" s="26"/>
      <c r="E10" s="26" t="s">
        <v>83</v>
      </c>
      <c r="F10" s="31">
        <v>0.16320000000000001</v>
      </c>
      <c r="G10" s="26"/>
      <c r="H10" s="25"/>
    </row>
    <row r="11" spans="1:8" x14ac:dyDescent="0.3">
      <c r="A11" s="19" t="s">
        <v>73</v>
      </c>
      <c r="B11" s="32">
        <v>5.5E-2</v>
      </c>
      <c r="C11" s="26"/>
      <c r="D11" s="26"/>
      <c r="E11" s="26" t="s">
        <v>84</v>
      </c>
      <c r="F11" s="30">
        <v>0.04</v>
      </c>
      <c r="G11" s="26"/>
      <c r="H11" s="25"/>
    </row>
    <row r="12" spans="1:8" x14ac:dyDescent="0.3">
      <c r="A12" s="19" t="s">
        <v>74</v>
      </c>
      <c r="B12" s="32">
        <v>0.9</v>
      </c>
      <c r="C12" s="26"/>
      <c r="D12" s="26"/>
      <c r="E12" s="26" t="s">
        <v>49</v>
      </c>
      <c r="F12" s="33">
        <v>0.97</v>
      </c>
      <c r="G12" s="26"/>
      <c r="H12" s="25"/>
    </row>
    <row r="13" spans="1:8" x14ac:dyDescent="0.3">
      <c r="A13" s="19" t="s">
        <v>75</v>
      </c>
      <c r="B13" s="34">
        <v>0.90469999999999995</v>
      </c>
      <c r="C13" s="26"/>
      <c r="D13" s="26"/>
      <c r="E13" s="26" t="s">
        <v>85</v>
      </c>
      <c r="F13" s="33">
        <v>0.78</v>
      </c>
      <c r="G13" s="26"/>
      <c r="H13" s="25"/>
    </row>
    <row r="14" spans="1:8" x14ac:dyDescent="0.3">
      <c r="A14" s="18" t="s">
        <v>46</v>
      </c>
      <c r="B14" s="35">
        <f>B10+B12*B11</f>
        <v>9.4500000000000001E-2</v>
      </c>
      <c r="C14" s="26"/>
      <c r="D14" s="26"/>
      <c r="E14" s="26"/>
      <c r="F14" s="36"/>
      <c r="G14" s="26"/>
      <c r="H14" s="25"/>
    </row>
    <row r="15" spans="1:8" x14ac:dyDescent="0.3">
      <c r="A15" s="18" t="s">
        <v>92</v>
      </c>
      <c r="B15" s="35">
        <v>5.5E-2</v>
      </c>
      <c r="C15" s="26"/>
      <c r="D15" s="26"/>
      <c r="E15" s="28" t="s">
        <v>86</v>
      </c>
      <c r="F15" s="37"/>
      <c r="G15" s="28"/>
      <c r="H15" s="25"/>
    </row>
    <row r="16" spans="1:8" x14ac:dyDescent="0.3">
      <c r="A16" s="18" t="s">
        <v>93</v>
      </c>
      <c r="B16" s="35">
        <f>B15*(1-B7)</f>
        <v>4.1800000000000004E-2</v>
      </c>
      <c r="C16" s="26"/>
      <c r="D16" s="26"/>
      <c r="E16" s="26" t="s">
        <v>87</v>
      </c>
      <c r="F16" s="38">
        <v>5.9</v>
      </c>
      <c r="G16" s="26"/>
      <c r="H16" s="25"/>
    </row>
    <row r="17" spans="1:8" x14ac:dyDescent="0.3">
      <c r="A17" s="18" t="s">
        <v>2</v>
      </c>
      <c r="B17" s="35">
        <f>B13*B14+((1-B13)*B16)</f>
        <v>8.9477689999999999E-2</v>
      </c>
      <c r="C17" s="26"/>
      <c r="D17" s="26"/>
      <c r="E17" s="26" t="s">
        <v>88</v>
      </c>
      <c r="F17" s="38">
        <v>4.3</v>
      </c>
      <c r="G17" s="26"/>
      <c r="H17" s="25"/>
    </row>
    <row r="18" spans="1:8" x14ac:dyDescent="0.3">
      <c r="A18" s="18" t="s">
        <v>50</v>
      </c>
      <c r="B18" s="30">
        <v>0.02</v>
      </c>
      <c r="C18" s="26"/>
      <c r="D18" s="26"/>
      <c r="E18" s="26" t="s">
        <v>119</v>
      </c>
      <c r="F18" s="30">
        <v>3.5000000000000003E-2</v>
      </c>
      <c r="G18" s="26"/>
      <c r="H18" s="25"/>
    </row>
    <row r="19" spans="1:8" x14ac:dyDescent="0.3">
      <c r="A19" s="18" t="s">
        <v>94</v>
      </c>
      <c r="B19" s="26">
        <v>7</v>
      </c>
      <c r="C19" s="26"/>
      <c r="D19" s="26"/>
      <c r="E19" s="26" t="s">
        <v>89</v>
      </c>
      <c r="F19" s="38">
        <v>1.1000000000000001</v>
      </c>
      <c r="G19" s="26"/>
      <c r="H19" s="25"/>
    </row>
    <row r="20" spans="1:8" x14ac:dyDescent="0.3">
      <c r="A20" s="18"/>
      <c r="B20" s="26"/>
      <c r="C20" s="26"/>
      <c r="D20" s="26"/>
      <c r="E20" s="26" t="s">
        <v>165</v>
      </c>
      <c r="F20" s="30">
        <v>0.02</v>
      </c>
      <c r="G20" s="26"/>
      <c r="H20" s="25"/>
    </row>
    <row r="21" spans="1:8" x14ac:dyDescent="0.3">
      <c r="A21" s="18"/>
      <c r="B21" s="26"/>
      <c r="C21" s="26"/>
      <c r="D21" s="26"/>
      <c r="E21" s="26" t="s">
        <v>90</v>
      </c>
      <c r="F21" s="27">
        <v>2.9</v>
      </c>
      <c r="G21" s="26"/>
      <c r="H21" s="25"/>
    </row>
    <row r="22" spans="1:8" x14ac:dyDescent="0.3">
      <c r="A22" s="18"/>
      <c r="B22" s="26"/>
      <c r="C22" s="26"/>
      <c r="D22" s="26"/>
      <c r="E22" s="26" t="s">
        <v>91</v>
      </c>
      <c r="F22" s="27">
        <v>3.6</v>
      </c>
      <c r="G22" s="26"/>
      <c r="H22" s="25"/>
    </row>
    <row r="23" spans="1:8" x14ac:dyDescent="0.3">
      <c r="A23" s="18"/>
      <c r="B23" s="26"/>
      <c r="C23" s="26"/>
      <c r="D23" s="26"/>
      <c r="E23" s="26" t="s">
        <v>166</v>
      </c>
      <c r="F23" s="30">
        <v>8.0000000000000002E-3</v>
      </c>
      <c r="G23" s="26"/>
      <c r="H23" s="25"/>
    </row>
    <row r="24" spans="1:8" x14ac:dyDescent="0.3">
      <c r="A24" s="18"/>
      <c r="B24" s="26"/>
      <c r="C24" s="26"/>
      <c r="D24" s="26"/>
      <c r="E24" s="26" t="s">
        <v>123</v>
      </c>
      <c r="F24" s="27">
        <v>0.3</v>
      </c>
      <c r="G24" s="26"/>
      <c r="H24" s="25"/>
    </row>
    <row r="25" spans="1:8" ht="22.05" customHeight="1" x14ac:dyDescent="0.3">
      <c r="A25" s="17" t="s">
        <v>161</v>
      </c>
      <c r="B25" s="17"/>
      <c r="C25" s="17"/>
      <c r="D25" s="17"/>
      <c r="E25" s="17"/>
      <c r="F25" s="17"/>
      <c r="G25" s="17"/>
      <c r="H25" s="15"/>
    </row>
    <row r="26" spans="1:8" ht="18" customHeight="1" x14ac:dyDescent="0.3">
      <c r="A26" s="20"/>
      <c r="B26" s="39" t="s">
        <v>4</v>
      </c>
      <c r="C26" s="39" t="s">
        <v>5</v>
      </c>
      <c r="D26" s="39" t="s">
        <v>6</v>
      </c>
      <c r="E26" s="39" t="s">
        <v>7</v>
      </c>
      <c r="F26" s="39" t="s">
        <v>8</v>
      </c>
      <c r="G26" s="39" t="s">
        <v>9</v>
      </c>
      <c r="H26" s="25"/>
    </row>
    <row r="27" spans="1:8" x14ac:dyDescent="0.3">
      <c r="A27" s="18" t="s">
        <v>17</v>
      </c>
      <c r="B27" s="40">
        <v>72</v>
      </c>
      <c r="C27" s="40">
        <f>INDEX(Scenarios!D$3:D$6,MATCH(Dashboard!$B$4,Scenarios!$A$3:$A$6,0))</f>
        <v>90</v>
      </c>
      <c r="D27" s="40">
        <f>INDEX(Scenarios!E$3:E$6,MATCH(Dashboard!$B$4,Scenarios!$A$3:$A$6,0))</f>
        <v>87.5</v>
      </c>
      <c r="E27" s="40">
        <f>INDEX(Scenarios!F$3:F$6,MATCH(Dashboard!$B$4,Scenarios!$A$3:$A$6,0))</f>
        <v>85</v>
      </c>
      <c r="F27" s="40">
        <f>INDEX(Scenarios!G$3:G$6,MATCH(Dashboard!$B$4,Scenarios!$A$3:$A$6,0))</f>
        <v>82.5</v>
      </c>
      <c r="G27" s="40">
        <f>INDEX(Scenarios!H$3:H$6,MATCH(Dashboard!$B$4,Scenarios!$A$3:$A$6,0))</f>
        <v>80</v>
      </c>
      <c r="H27" s="25"/>
    </row>
    <row r="28" spans="1:8" x14ac:dyDescent="0.3">
      <c r="A28" s="18" t="s">
        <v>95</v>
      </c>
      <c r="B28" s="40">
        <f t="shared" ref="B28:G28" si="0">B27*$F$12</f>
        <v>69.84</v>
      </c>
      <c r="C28" s="40">
        <f t="shared" si="0"/>
        <v>87.3</v>
      </c>
      <c r="D28" s="40">
        <f t="shared" si="0"/>
        <v>84.875</v>
      </c>
      <c r="E28" s="40">
        <f t="shared" si="0"/>
        <v>82.45</v>
      </c>
      <c r="F28" s="40">
        <f t="shared" si="0"/>
        <v>80.024999999999991</v>
      </c>
      <c r="G28" s="40">
        <f t="shared" si="0"/>
        <v>77.599999999999994</v>
      </c>
      <c r="H28" s="25"/>
    </row>
    <row r="29" spans="1:8" x14ac:dyDescent="0.3">
      <c r="A29" s="18" t="s">
        <v>18</v>
      </c>
      <c r="B29" s="40">
        <v>2.8</v>
      </c>
      <c r="C29" s="40">
        <f>INDEX(Scenarios!D$10:D$13,MATCH(Dashboard!$B$4,Scenarios!$A$10:$A$13,0))</f>
        <v>2.6</v>
      </c>
      <c r="D29" s="40">
        <f>INDEX(Scenarios!E$10:E$13,MATCH(Dashboard!$B$4,Scenarios!$A$10:$A$13,0))</f>
        <v>2.7250000000000001</v>
      </c>
      <c r="E29" s="40">
        <f>INDEX(Scenarios!F$10:F$13,MATCH(Dashboard!$B$4,Scenarios!$A$10:$A$13,0))</f>
        <v>2.85</v>
      </c>
      <c r="F29" s="40">
        <f>INDEX(Scenarios!G$10:G$13,MATCH(Dashboard!$B$4,Scenarios!$A$10:$A$13,0))</f>
        <v>2.9750000000000001</v>
      </c>
      <c r="G29" s="40">
        <f>INDEX(Scenarios!H$10:H$13,MATCH(Dashboard!$B$4,Scenarios!$A$10:$A$13,0))</f>
        <v>3.1</v>
      </c>
      <c r="H29" s="25"/>
    </row>
    <row r="30" spans="1:8" x14ac:dyDescent="0.3">
      <c r="A30" s="18" t="s">
        <v>96</v>
      </c>
      <c r="B30" s="40">
        <f t="shared" ref="B30:G30" si="1">B29*$F$13</f>
        <v>2.1839999999999997</v>
      </c>
      <c r="C30" s="40">
        <f t="shared" si="1"/>
        <v>2.028</v>
      </c>
      <c r="D30" s="40">
        <f t="shared" si="1"/>
        <v>2.1255000000000002</v>
      </c>
      <c r="E30" s="40">
        <f t="shared" si="1"/>
        <v>2.2230000000000003</v>
      </c>
      <c r="F30" s="40">
        <f t="shared" si="1"/>
        <v>2.3205</v>
      </c>
      <c r="G30" s="40">
        <f t="shared" si="1"/>
        <v>2.4180000000000001</v>
      </c>
      <c r="H30" s="25"/>
    </row>
    <row r="31" spans="1:8" x14ac:dyDescent="0.3">
      <c r="A31" s="18" t="s">
        <v>121</v>
      </c>
      <c r="B31" s="40">
        <v>22</v>
      </c>
      <c r="C31" s="40">
        <f>C27*0.22</f>
        <v>19.8</v>
      </c>
      <c r="D31" s="40">
        <f>D27*0.22</f>
        <v>19.25</v>
      </c>
      <c r="E31" s="40">
        <f>E27*0.22</f>
        <v>18.7</v>
      </c>
      <c r="F31" s="40">
        <f>F27*0.22</f>
        <v>18.149999999999999</v>
      </c>
      <c r="G31" s="40">
        <f>G27*0.22</f>
        <v>17.600000000000001</v>
      </c>
      <c r="H31" s="25"/>
    </row>
    <row r="32" spans="1:8" x14ac:dyDescent="0.3">
      <c r="A32" s="18"/>
      <c r="B32" s="26"/>
      <c r="C32" s="26"/>
      <c r="D32" s="26"/>
      <c r="E32" s="26"/>
      <c r="F32" s="26"/>
      <c r="G32" s="26"/>
      <c r="H32" s="25"/>
    </row>
    <row r="33" spans="1:8" ht="18" customHeight="1" x14ac:dyDescent="0.3">
      <c r="A33" s="20" t="s">
        <v>97</v>
      </c>
      <c r="B33" s="39"/>
      <c r="C33" s="39"/>
      <c r="D33" s="39"/>
      <c r="E33" s="39"/>
      <c r="F33" s="39"/>
      <c r="G33" s="39"/>
      <c r="H33" s="25"/>
    </row>
    <row r="34" spans="1:8" x14ac:dyDescent="0.3">
      <c r="A34" s="18" t="s">
        <v>98</v>
      </c>
      <c r="B34" s="41">
        <f>$F$4</f>
        <v>522</v>
      </c>
      <c r="C34" s="41">
        <f>B34*(1+$F$7)</f>
        <v>548.1</v>
      </c>
      <c r="D34" s="41">
        <f>C34*(1+$F$8)</f>
        <v>564.54300000000001</v>
      </c>
      <c r="E34" s="41">
        <f>D34*(1+$F$8)</f>
        <v>581.47928999999999</v>
      </c>
      <c r="F34" s="41">
        <f>E34*(1+$F$8)</f>
        <v>598.92366870000001</v>
      </c>
      <c r="G34" s="41">
        <f>F34*(1+$F$8*0.5)</f>
        <v>607.90752373049997</v>
      </c>
      <c r="H34" s="25"/>
    </row>
    <row r="35" spans="1:8" x14ac:dyDescent="0.3">
      <c r="A35" s="18" t="s">
        <v>99</v>
      </c>
      <c r="B35" s="41">
        <f>$F$5</f>
        <v>2532</v>
      </c>
      <c r="C35" s="41">
        <f>B35*(1+$F$9)</f>
        <v>3084.9887999999996</v>
      </c>
      <c r="D35" s="41">
        <f t="shared" ref="D35:G36" si="2">C35*(1+$F$11)</f>
        <v>3208.3883519999999</v>
      </c>
      <c r="E35" s="41">
        <f t="shared" si="2"/>
        <v>3336.7238860799998</v>
      </c>
      <c r="F35" s="41">
        <f t="shared" si="2"/>
        <v>3470.1928415232001</v>
      </c>
      <c r="G35" s="41">
        <f t="shared" si="2"/>
        <v>3609.0005551841282</v>
      </c>
      <c r="H35" s="25"/>
    </row>
    <row r="36" spans="1:8" x14ac:dyDescent="0.3">
      <c r="A36" s="18" t="s">
        <v>100</v>
      </c>
      <c r="B36" s="41">
        <f>$F$6</f>
        <v>288</v>
      </c>
      <c r="C36" s="41">
        <f>B36*(1+$F$10)</f>
        <v>335.0016</v>
      </c>
      <c r="D36" s="41">
        <f t="shared" si="2"/>
        <v>348.40166399999998</v>
      </c>
      <c r="E36" s="41">
        <f t="shared" si="2"/>
        <v>362.33773056000001</v>
      </c>
      <c r="F36" s="41">
        <f t="shared" si="2"/>
        <v>376.83123978240002</v>
      </c>
      <c r="G36" s="41">
        <f t="shared" si="2"/>
        <v>391.90448937369604</v>
      </c>
      <c r="H36" s="25"/>
    </row>
    <row r="37" spans="1:8" x14ac:dyDescent="0.3">
      <c r="A37" s="18" t="s">
        <v>19</v>
      </c>
      <c r="B37" s="41">
        <f t="shared" ref="B37:G37" si="3">B34+B35/6+B36</f>
        <v>1232</v>
      </c>
      <c r="C37" s="41">
        <f t="shared" si="3"/>
        <v>1397.2664</v>
      </c>
      <c r="D37" s="41">
        <f t="shared" si="3"/>
        <v>1447.676056</v>
      </c>
      <c r="E37" s="41">
        <f t="shared" si="3"/>
        <v>1499.93766824</v>
      </c>
      <c r="F37" s="41">
        <f t="shared" si="3"/>
        <v>1554.1203820695998</v>
      </c>
      <c r="G37" s="41">
        <f t="shared" si="3"/>
        <v>1601.3121056348841</v>
      </c>
      <c r="H37" s="25"/>
    </row>
    <row r="38" spans="1:8" x14ac:dyDescent="0.3">
      <c r="A38" s="18"/>
      <c r="B38" s="26"/>
      <c r="C38" s="26"/>
      <c r="D38" s="26"/>
      <c r="E38" s="26"/>
      <c r="F38" s="26"/>
      <c r="G38" s="26"/>
      <c r="H38" s="25"/>
    </row>
    <row r="39" spans="1:8" ht="18" customHeight="1" x14ac:dyDescent="0.3">
      <c r="A39" s="20" t="s">
        <v>101</v>
      </c>
      <c r="B39" s="39"/>
      <c r="C39" s="39"/>
      <c r="D39" s="39"/>
      <c r="E39" s="39"/>
      <c r="F39" s="39"/>
      <c r="G39" s="39"/>
      <c r="H39" s="25"/>
    </row>
    <row r="40" spans="1:8" x14ac:dyDescent="0.3">
      <c r="A40" s="18" t="s">
        <v>102</v>
      </c>
      <c r="B40" s="42">
        <f t="shared" ref="B40:G40" si="4">B34*B28*365/1000000</f>
        <v>13.306615200000001</v>
      </c>
      <c r="C40" s="42">
        <f t="shared" si="4"/>
        <v>17.464932449999999</v>
      </c>
      <c r="D40" s="42">
        <f t="shared" si="4"/>
        <v>17.489189300625</v>
      </c>
      <c r="E40" s="42">
        <f t="shared" si="4"/>
        <v>17.499183123082499</v>
      </c>
      <c r="F40" s="42">
        <f t="shared" si="4"/>
        <v>17.494036304516886</v>
      </c>
      <c r="G40" s="42">
        <f t="shared" si="4"/>
        <v>17.218372702142677</v>
      </c>
      <c r="H40" s="25"/>
    </row>
    <row r="41" spans="1:8" x14ac:dyDescent="0.3">
      <c r="A41" s="18" t="s">
        <v>103</v>
      </c>
      <c r="B41" s="42">
        <f t="shared" ref="B41:G42" si="5">B35*B30*365/1000000</f>
        <v>2.0184091199999998</v>
      </c>
      <c r="C41" s="42">
        <f t="shared" si="5"/>
        <v>2.2835704095359994</v>
      </c>
      <c r="D41" s="42">
        <f t="shared" si="5"/>
        <v>2.4890917463942404</v>
      </c>
      <c r="E41" s="42">
        <f t="shared" si="5"/>
        <v>2.7074010775458821</v>
      </c>
      <c r="F41" s="42">
        <f t="shared" si="5"/>
        <v>2.9391926083954236</v>
      </c>
      <c r="G41" s="42">
        <f t="shared" si="5"/>
        <v>3.185195619988856</v>
      </c>
      <c r="H41" s="25"/>
    </row>
    <row r="42" spans="1:8" x14ac:dyDescent="0.3">
      <c r="A42" s="18" t="s">
        <v>104</v>
      </c>
      <c r="B42" s="42">
        <f t="shared" si="5"/>
        <v>2.31264</v>
      </c>
      <c r="C42" s="42">
        <f t="shared" si="5"/>
        <v>2.4210565632000001</v>
      </c>
      <c r="D42" s="42">
        <f t="shared" si="5"/>
        <v>2.44795719168</v>
      </c>
      <c r="E42" s="42">
        <f t="shared" si="5"/>
        <v>2.47313617993728</v>
      </c>
      <c r="F42" s="42">
        <f t="shared" si="5"/>
        <v>2.4964127557484539</v>
      </c>
      <c r="G42" s="42">
        <f t="shared" si="5"/>
        <v>2.5175944397366234</v>
      </c>
      <c r="H42" s="25"/>
    </row>
    <row r="43" spans="1:8" x14ac:dyDescent="0.3">
      <c r="A43" s="21" t="s">
        <v>105</v>
      </c>
      <c r="B43" s="43">
        <f t="shared" ref="B43:G43" si="6">B40+B41+B42</f>
        <v>17.637664319999999</v>
      </c>
      <c r="C43" s="43">
        <f t="shared" si="6"/>
        <v>22.169559422736</v>
      </c>
      <c r="D43" s="43">
        <f t="shared" si="6"/>
        <v>22.426238238699241</v>
      </c>
      <c r="E43" s="43">
        <f t="shared" si="6"/>
        <v>22.679720380565662</v>
      </c>
      <c r="F43" s="43">
        <f t="shared" si="6"/>
        <v>22.929641668660764</v>
      </c>
      <c r="G43" s="43">
        <f t="shared" si="6"/>
        <v>22.921162761868157</v>
      </c>
      <c r="H43" s="25"/>
    </row>
    <row r="44" spans="1:8" x14ac:dyDescent="0.3">
      <c r="A44" s="18"/>
      <c r="B44" s="26"/>
      <c r="C44" s="26"/>
      <c r="D44" s="26"/>
      <c r="E44" s="26"/>
      <c r="F44" s="26"/>
      <c r="G44" s="26"/>
      <c r="H44" s="25"/>
    </row>
    <row r="45" spans="1:8" ht="18" customHeight="1" x14ac:dyDescent="0.3">
      <c r="A45" s="20" t="s">
        <v>106</v>
      </c>
      <c r="B45" s="39"/>
      <c r="C45" s="39"/>
      <c r="D45" s="39"/>
      <c r="E45" s="39"/>
      <c r="F45" s="39"/>
      <c r="G45" s="39"/>
      <c r="H45" s="25"/>
    </row>
    <row r="46" spans="1:8" x14ac:dyDescent="0.3">
      <c r="A46" s="18" t="s">
        <v>120</v>
      </c>
      <c r="B46" s="40">
        <v>13.5</v>
      </c>
      <c r="C46" s="40">
        <f>$F$16+$F$17+$F$19</f>
        <v>11.299999999999999</v>
      </c>
      <c r="D46" s="40">
        <f>C46*(1+$F$20)</f>
        <v>11.526</v>
      </c>
      <c r="E46" s="40">
        <f>D46*(1+$F$20)</f>
        <v>11.75652</v>
      </c>
      <c r="F46" s="40">
        <f>E46*(1+$F$20)</f>
        <v>11.991650400000001</v>
      </c>
      <c r="G46" s="40">
        <f>F46*(1+$F$20)</f>
        <v>12.231483408000001</v>
      </c>
      <c r="H46" s="25"/>
    </row>
    <row r="47" spans="1:8" x14ac:dyDescent="0.3">
      <c r="A47" s="18" t="s">
        <v>20</v>
      </c>
      <c r="B47" s="42">
        <f t="shared" ref="B47:G47" si="7">B46*B37*365/1000000+$F$18*B43</f>
        <v>6.6879982512000007</v>
      </c>
      <c r="C47" s="42">
        <f t="shared" si="7"/>
        <v>6.5389598465957599</v>
      </c>
      <c r="D47" s="42">
        <f t="shared" si="7"/>
        <v>6.8752770291859138</v>
      </c>
      <c r="E47" s="42">
        <f t="shared" si="7"/>
        <v>7.2302174396469763</v>
      </c>
      <c r="F47" s="42">
        <f t="shared" si="7"/>
        <v>7.6048483883750988</v>
      </c>
      <c r="G47" s="42">
        <f t="shared" si="7"/>
        <v>7.9512848913178447</v>
      </c>
      <c r="H47" s="25"/>
    </row>
    <row r="48" spans="1:8" x14ac:dyDescent="0.3">
      <c r="A48" s="21" t="s">
        <v>21</v>
      </c>
      <c r="B48" s="43">
        <f t="shared" ref="B48:G48" si="8">B43-B47</f>
        <v>10.949666068799999</v>
      </c>
      <c r="C48" s="43">
        <f t="shared" si="8"/>
        <v>15.630599576140241</v>
      </c>
      <c r="D48" s="43">
        <f t="shared" si="8"/>
        <v>15.550961209513328</v>
      </c>
      <c r="E48" s="43">
        <f t="shared" si="8"/>
        <v>15.449502940918686</v>
      </c>
      <c r="F48" s="43">
        <f t="shared" si="8"/>
        <v>15.324793280285665</v>
      </c>
      <c r="G48" s="43">
        <f t="shared" si="8"/>
        <v>14.969877870550313</v>
      </c>
      <c r="H48" s="25"/>
    </row>
    <row r="49" spans="1:8" x14ac:dyDescent="0.3">
      <c r="A49" s="18" t="s">
        <v>22</v>
      </c>
      <c r="B49" s="44">
        <f t="shared" ref="B49:G49" si="9">B48/B43</f>
        <v>0.6208115694992431</v>
      </c>
      <c r="C49" s="44">
        <f t="shared" si="9"/>
        <v>0.7050478215688073</v>
      </c>
      <c r="D49" s="44">
        <f t="shared" si="9"/>
        <v>0.69342709392421531</v>
      </c>
      <c r="E49" s="44">
        <f t="shared" si="9"/>
        <v>0.68120341351992253</v>
      </c>
      <c r="F49" s="44">
        <f t="shared" si="9"/>
        <v>0.66833985030088472</v>
      </c>
      <c r="G49" s="44">
        <f t="shared" si="9"/>
        <v>0.65310289997391979</v>
      </c>
      <c r="H49" s="25"/>
    </row>
    <row r="50" spans="1:8" x14ac:dyDescent="0.3">
      <c r="A50" s="18"/>
      <c r="B50" s="26"/>
      <c r="C50" s="26"/>
      <c r="D50" s="26"/>
      <c r="E50" s="26"/>
      <c r="F50" s="26"/>
      <c r="G50" s="26"/>
      <c r="H50" s="25"/>
    </row>
    <row r="51" spans="1:8" ht="18" customHeight="1" x14ac:dyDescent="0.3">
      <c r="A51" s="20" t="s">
        <v>107</v>
      </c>
      <c r="B51" s="39"/>
      <c r="C51" s="39"/>
      <c r="D51" s="39"/>
      <c r="E51" s="39"/>
      <c r="F51" s="39"/>
      <c r="G51" s="39"/>
      <c r="H51" s="25"/>
    </row>
    <row r="52" spans="1:8" x14ac:dyDescent="0.3">
      <c r="A52" s="18" t="s">
        <v>23</v>
      </c>
      <c r="B52" s="42">
        <v>4.2</v>
      </c>
      <c r="C52" s="42">
        <f>B52*(1+$F$23*2)</f>
        <v>4.2671999999999999</v>
      </c>
      <c r="D52" s="42">
        <f>C52*(1+$F$23*2)</f>
        <v>4.3354752000000003</v>
      </c>
      <c r="E52" s="42">
        <f>D52*(1+$F$23*2)</f>
        <v>4.4048428032000002</v>
      </c>
      <c r="F52" s="42">
        <f>E52*(1+$F$23*2)</f>
        <v>4.4753202880512006</v>
      </c>
      <c r="G52" s="42">
        <f>F52*(1+$F$23*2)</f>
        <v>4.5469254126600198</v>
      </c>
      <c r="H52" s="25"/>
    </row>
    <row r="53" spans="1:8" x14ac:dyDescent="0.3">
      <c r="A53" s="18" t="s">
        <v>24</v>
      </c>
      <c r="B53" s="42">
        <f t="shared" ref="B53:G53" si="10">B48-B52</f>
        <v>6.749666068799999</v>
      </c>
      <c r="C53" s="42">
        <f t="shared" si="10"/>
        <v>11.363399576140242</v>
      </c>
      <c r="D53" s="42">
        <f t="shared" si="10"/>
        <v>11.215486009513327</v>
      </c>
      <c r="E53" s="42">
        <f t="shared" si="10"/>
        <v>11.044660137718687</v>
      </c>
      <c r="F53" s="42">
        <f t="shared" si="10"/>
        <v>10.849472992234464</v>
      </c>
      <c r="G53" s="42">
        <f t="shared" si="10"/>
        <v>10.422952457890293</v>
      </c>
      <c r="H53" s="25"/>
    </row>
    <row r="54" spans="1:8" x14ac:dyDescent="0.3">
      <c r="A54" s="18" t="s">
        <v>25</v>
      </c>
      <c r="B54" s="42">
        <f t="shared" ref="B54:G54" si="11">MAX(B53*$B$7,0)</f>
        <v>1.6199198565119997</v>
      </c>
      <c r="C54" s="42">
        <f t="shared" si="11"/>
        <v>2.7272158982736583</v>
      </c>
      <c r="D54" s="42">
        <f t="shared" si="11"/>
        <v>2.6917166422831986</v>
      </c>
      <c r="E54" s="42">
        <f t="shared" si="11"/>
        <v>2.6507184330524849</v>
      </c>
      <c r="F54" s="42">
        <f t="shared" si="11"/>
        <v>2.6038735181362713</v>
      </c>
      <c r="G54" s="42">
        <f t="shared" si="11"/>
        <v>2.5015085898936702</v>
      </c>
      <c r="H54" s="25"/>
    </row>
    <row r="55" spans="1:8" x14ac:dyDescent="0.3">
      <c r="A55" s="18" t="s">
        <v>10</v>
      </c>
      <c r="B55" s="42">
        <f t="shared" ref="B55:G55" si="12">B48-B54</f>
        <v>9.3297462122879988</v>
      </c>
      <c r="C55" s="42">
        <f t="shared" si="12"/>
        <v>12.903383677866582</v>
      </c>
      <c r="D55" s="42">
        <f t="shared" si="12"/>
        <v>12.85924456723013</v>
      </c>
      <c r="E55" s="42">
        <f t="shared" si="12"/>
        <v>12.798784507866202</v>
      </c>
      <c r="F55" s="42">
        <f t="shared" si="12"/>
        <v>12.720919762149393</v>
      </c>
      <c r="G55" s="42">
        <f t="shared" si="12"/>
        <v>12.468369280656642</v>
      </c>
      <c r="H55" s="25"/>
    </row>
    <row r="56" spans="1:8" x14ac:dyDescent="0.3">
      <c r="A56" s="18" t="s">
        <v>26</v>
      </c>
      <c r="B56" s="42">
        <v>2.8</v>
      </c>
      <c r="C56" s="42">
        <f>$F$21</f>
        <v>2.9</v>
      </c>
      <c r="D56" s="42">
        <f>C56*(1+$F$23)</f>
        <v>2.9232</v>
      </c>
      <c r="E56" s="42">
        <f>D56*(1+$F$23)</f>
        <v>2.9465856000000001</v>
      </c>
      <c r="F56" s="42">
        <f>E56*(1+$F$23)</f>
        <v>2.9701582848000001</v>
      </c>
      <c r="G56" s="42">
        <f>F56*(1+$F$23)</f>
        <v>2.9939195510784002</v>
      </c>
      <c r="H56" s="25"/>
    </row>
    <row r="57" spans="1:8" x14ac:dyDescent="0.3">
      <c r="A57" s="18" t="s">
        <v>27</v>
      </c>
      <c r="B57" s="42">
        <v>3.5</v>
      </c>
      <c r="C57" s="42">
        <f>$F$22*MAX(0.5,C27/90)</f>
        <v>3.6</v>
      </c>
      <c r="D57" s="42">
        <f>$F$22*0.985^1*MAX(0.5,D27/90)</f>
        <v>3.4474999999999998</v>
      </c>
      <c r="E57" s="42">
        <f>$F$22*0.985^2*MAX(0.5,E27/90)</f>
        <v>3.2987649999999999</v>
      </c>
      <c r="F57" s="42">
        <f>$F$22*0.985^3*MAX(0.5,F27/90)</f>
        <v>3.1537163625</v>
      </c>
      <c r="G57" s="42">
        <f>$F$22*0.985^4*MAX(0.5,G27/90)</f>
        <v>3.0122769620000001</v>
      </c>
      <c r="H57" s="25"/>
    </row>
    <row r="58" spans="1:8" x14ac:dyDescent="0.3">
      <c r="A58" s="18" t="s">
        <v>28</v>
      </c>
      <c r="B58" s="42">
        <f t="shared" ref="B58:G58" si="13">B56+B57</f>
        <v>6.3</v>
      </c>
      <c r="C58" s="42">
        <f t="shared" si="13"/>
        <v>6.5</v>
      </c>
      <c r="D58" s="42">
        <f t="shared" si="13"/>
        <v>6.3706999999999994</v>
      </c>
      <c r="E58" s="42">
        <f t="shared" si="13"/>
        <v>6.2453506000000001</v>
      </c>
      <c r="F58" s="42">
        <f t="shared" si="13"/>
        <v>6.1238746473000001</v>
      </c>
      <c r="G58" s="42">
        <f t="shared" si="13"/>
        <v>6.0061965130784003</v>
      </c>
      <c r="H58" s="25"/>
    </row>
    <row r="59" spans="1:8" x14ac:dyDescent="0.3">
      <c r="A59" s="21" t="s">
        <v>124</v>
      </c>
      <c r="B59" s="43">
        <f t="shared" ref="B59:G59" si="14">B55-B58-$F$24</f>
        <v>2.7297462122879992</v>
      </c>
      <c r="C59" s="43">
        <f t="shared" si="14"/>
        <v>6.1033836778665824</v>
      </c>
      <c r="D59" s="43">
        <f t="shared" si="14"/>
        <v>6.1885445672301307</v>
      </c>
      <c r="E59" s="43">
        <f t="shared" si="14"/>
        <v>6.253433907866202</v>
      </c>
      <c r="F59" s="43">
        <f t="shared" si="14"/>
        <v>6.2970451148493929</v>
      </c>
      <c r="G59" s="43">
        <f t="shared" si="14"/>
        <v>6.1621727675782418</v>
      </c>
      <c r="H59" s="25"/>
    </row>
    <row r="60" spans="1:8" x14ac:dyDescent="0.3">
      <c r="A60" s="18" t="s">
        <v>30</v>
      </c>
      <c r="B60" s="44">
        <f t="shared" ref="B60:G60" si="15">B59/B43</f>
        <v>0.15476801025137094</v>
      </c>
      <c r="C60" s="44">
        <f t="shared" si="15"/>
        <v>0.275304689709226</v>
      </c>
      <c r="D60" s="44">
        <f t="shared" si="15"/>
        <v>0.27595107576049172</v>
      </c>
      <c r="E60" s="44">
        <f t="shared" si="15"/>
        <v>0.27572799853497282</v>
      </c>
      <c r="F60" s="44">
        <f t="shared" si="15"/>
        <v>0.27462466295127147</v>
      </c>
      <c r="G60" s="44">
        <f t="shared" si="15"/>
        <v>0.26884206667864535</v>
      </c>
      <c r="H60" s="25"/>
    </row>
    <row r="61" spans="1:8" x14ac:dyDescent="0.3">
      <c r="A61" s="18"/>
      <c r="B61" s="26"/>
      <c r="C61" s="26"/>
      <c r="D61" s="26"/>
      <c r="E61" s="26"/>
      <c r="F61" s="26"/>
      <c r="G61" s="26"/>
      <c r="H61" s="25"/>
    </row>
    <row r="62" spans="1:8" ht="22.05" customHeight="1" x14ac:dyDescent="0.3">
      <c r="A62" s="17" t="s">
        <v>162</v>
      </c>
      <c r="B62" s="17"/>
      <c r="C62" s="17"/>
      <c r="D62" s="17"/>
      <c r="E62" s="17"/>
      <c r="F62" s="17"/>
      <c r="G62" s="17"/>
      <c r="H62" s="15"/>
    </row>
    <row r="63" spans="1:8" ht="18" customHeight="1" x14ac:dyDescent="0.3">
      <c r="A63" s="20"/>
      <c r="B63" s="39" t="s">
        <v>5</v>
      </c>
      <c r="C63" s="39" t="s">
        <v>6</v>
      </c>
      <c r="D63" s="39" t="s">
        <v>7</v>
      </c>
      <c r="E63" s="39" t="s">
        <v>8</v>
      </c>
      <c r="F63" s="39" t="s">
        <v>9</v>
      </c>
      <c r="G63" s="39" t="s">
        <v>32</v>
      </c>
      <c r="H63" s="45" t="s">
        <v>33</v>
      </c>
    </row>
    <row r="64" spans="1:8" x14ac:dyDescent="0.3">
      <c r="A64" s="18" t="s">
        <v>29</v>
      </c>
      <c r="B64" s="42">
        <f>C59</f>
        <v>6.1033836778665824</v>
      </c>
      <c r="C64" s="42">
        <f>D59</f>
        <v>6.1885445672301307</v>
      </c>
      <c r="D64" s="42">
        <f>E59</f>
        <v>6.253433907866202</v>
      </c>
      <c r="E64" s="42">
        <f>F59</f>
        <v>6.2970451148493929</v>
      </c>
      <c r="F64" s="42">
        <f>G59</f>
        <v>6.1621727675782418</v>
      </c>
      <c r="G64" s="42">
        <f>F64*1.025</f>
        <v>6.3162270867676975</v>
      </c>
      <c r="H64" s="46">
        <f>G64*1.02</f>
        <v>6.4425516285030513</v>
      </c>
    </row>
    <row r="65" spans="1:8" x14ac:dyDescent="0.3">
      <c r="A65" s="18" t="s">
        <v>34</v>
      </c>
      <c r="B65" s="47">
        <v>0.5</v>
      </c>
      <c r="C65" s="47">
        <v>1.5</v>
      </c>
      <c r="D65" s="47">
        <v>2.5</v>
      </c>
      <c r="E65" s="47">
        <v>3.5</v>
      </c>
      <c r="F65" s="47">
        <v>4.5</v>
      </c>
      <c r="G65" s="47">
        <v>5.5</v>
      </c>
      <c r="H65" s="47">
        <v>6.5</v>
      </c>
    </row>
    <row r="66" spans="1:8" x14ac:dyDescent="0.3">
      <c r="A66" s="18" t="s">
        <v>108</v>
      </c>
      <c r="B66" s="48">
        <f t="shared" ref="B66:G66" si="16">1/(1+$B$17)^B65</f>
        <v>0.95805585499826285</v>
      </c>
      <c r="C66" s="48">
        <f t="shared" si="16"/>
        <v>0.87937170608630155</v>
      </c>
      <c r="D66" s="48">
        <f t="shared" si="16"/>
        <v>0.80714980596463759</v>
      </c>
      <c r="E66" s="48">
        <f t="shared" si="16"/>
        <v>0.74085941673999545</v>
      </c>
      <c r="F66" s="48">
        <f t="shared" si="16"/>
        <v>0.68001338948023382</v>
      </c>
      <c r="G66" s="48">
        <f t="shared" si="16"/>
        <v>0.62416458429748456</v>
      </c>
      <c r="H66" s="48">
        <f>1/(1+$B$17)^H65</f>
        <v>0.5729025844462079</v>
      </c>
    </row>
    <row r="67" spans="1:8" x14ac:dyDescent="0.3">
      <c r="A67" s="18" t="s">
        <v>35</v>
      </c>
      <c r="B67" s="42">
        <f t="shared" ref="B67:G67" si="17">B64*B66</f>
        <v>5.8473824678809105</v>
      </c>
      <c r="C67" s="42">
        <f t="shared" si="17"/>
        <v>5.4420309942762728</v>
      </c>
      <c r="D67" s="42">
        <f t="shared" si="17"/>
        <v>5.0474579653468901</v>
      </c>
      <c r="E67" s="42">
        <f t="shared" si="17"/>
        <v>4.665225170972759</v>
      </c>
      <c r="F67" s="42">
        <f t="shared" si="17"/>
        <v>4.1903599902436737</v>
      </c>
      <c r="G67" s="42">
        <f t="shared" si="17"/>
        <v>3.942365253940872</v>
      </c>
      <c r="H67" s="46">
        <f>H64*H66</f>
        <v>3.6909544783975234</v>
      </c>
    </row>
    <row r="68" spans="1:8" x14ac:dyDescent="0.3">
      <c r="A68" s="18"/>
      <c r="B68" s="26"/>
      <c r="C68" s="26"/>
      <c r="D68" s="26"/>
      <c r="E68" s="26"/>
      <c r="F68" s="26"/>
      <c r="G68" s="26"/>
      <c r="H68" s="25"/>
    </row>
    <row r="69" spans="1:8" x14ac:dyDescent="0.3">
      <c r="A69" s="21" t="s">
        <v>109</v>
      </c>
      <c r="B69" s="43">
        <f>SUM(B67:H67)</f>
        <v>32.825776321058903</v>
      </c>
      <c r="C69" s="26"/>
      <c r="D69" s="26"/>
      <c r="E69" s="26"/>
      <c r="F69" s="26"/>
      <c r="G69" s="26"/>
      <c r="H69" s="25"/>
    </row>
    <row r="70" spans="1:8" x14ac:dyDescent="0.3">
      <c r="A70" s="18" t="s">
        <v>37</v>
      </c>
      <c r="B70" s="42">
        <f>H64</f>
        <v>6.4425516285030513</v>
      </c>
      <c r="C70" s="26"/>
      <c r="D70" s="26"/>
      <c r="E70" s="26"/>
      <c r="F70" s="26"/>
      <c r="G70" s="26"/>
      <c r="H70" s="25"/>
    </row>
    <row r="71" spans="1:8" x14ac:dyDescent="0.3">
      <c r="A71" s="18" t="s">
        <v>110</v>
      </c>
      <c r="B71" s="42">
        <f>B70*(1+$B$18)/($B$17-$B$18)</f>
        <v>94.582918071586917</v>
      </c>
      <c r="C71" s="26"/>
      <c r="D71" s="26"/>
      <c r="E71" s="26"/>
      <c r="F71" s="26"/>
      <c r="G71" s="26"/>
      <c r="H71" s="25"/>
    </row>
    <row r="72" spans="1:8" x14ac:dyDescent="0.3">
      <c r="A72" s="18" t="s">
        <v>111</v>
      </c>
      <c r="B72" s="42">
        <f>B71/(1+$B$17)^6.5</f>
        <v>54.186798207676091</v>
      </c>
      <c r="C72" s="26"/>
      <c r="D72" s="26"/>
      <c r="E72" s="26"/>
      <c r="F72" s="26"/>
      <c r="G72" s="26"/>
      <c r="H72" s="25"/>
    </row>
    <row r="73" spans="1:8" x14ac:dyDescent="0.3">
      <c r="A73" s="21" t="s">
        <v>11</v>
      </c>
      <c r="B73" s="43">
        <f>B69+B72</f>
        <v>87.012574528735001</v>
      </c>
      <c r="C73" s="26"/>
      <c r="D73" s="26"/>
      <c r="E73" s="26"/>
      <c r="F73" s="26"/>
      <c r="G73" s="26"/>
      <c r="H73" s="25"/>
    </row>
    <row r="74" spans="1:8" x14ac:dyDescent="0.3">
      <c r="A74" s="18" t="s">
        <v>38</v>
      </c>
      <c r="B74" s="42">
        <f>-$B$8</f>
        <v>-4.5400000000000009</v>
      </c>
      <c r="C74" s="26"/>
      <c r="D74" s="26"/>
      <c r="E74" s="26"/>
      <c r="F74" s="26"/>
      <c r="G74" s="26"/>
      <c r="H74" s="25"/>
    </row>
    <row r="75" spans="1:8" x14ac:dyDescent="0.3">
      <c r="A75" s="18" t="s">
        <v>12</v>
      </c>
      <c r="B75" s="42">
        <f>B73+B74</f>
        <v>82.472574528734995</v>
      </c>
      <c r="C75" s="26"/>
      <c r="D75" s="26"/>
      <c r="E75" s="26"/>
      <c r="F75" s="26"/>
      <c r="G75" s="26"/>
      <c r="H75" s="25"/>
    </row>
    <row r="76" spans="1:8" ht="15" thickBot="1" x14ac:dyDescent="0.35">
      <c r="A76" s="73" t="s">
        <v>36</v>
      </c>
      <c r="B76" s="74">
        <f>B75*1000/$B$4</f>
        <v>152.72698986802777</v>
      </c>
      <c r="C76" s="26"/>
      <c r="D76" s="26"/>
      <c r="E76" s="26"/>
      <c r="F76" s="26"/>
      <c r="G76" s="26"/>
      <c r="H76" s="25"/>
    </row>
    <row r="77" spans="1:8" ht="15" thickTop="1" x14ac:dyDescent="0.3">
      <c r="A77" s="18"/>
      <c r="B77" s="26"/>
      <c r="C77" s="26"/>
      <c r="D77" s="26"/>
      <c r="E77" s="26"/>
      <c r="F77" s="26"/>
      <c r="G77" s="26"/>
      <c r="H77" s="25"/>
    </row>
    <row r="78" spans="1:8" x14ac:dyDescent="0.3">
      <c r="A78" s="18" t="s">
        <v>112</v>
      </c>
      <c r="B78" s="44">
        <f>B72/B73</f>
        <v>0.62274675242233479</v>
      </c>
      <c r="C78" s="26"/>
      <c r="D78" s="26"/>
      <c r="E78" s="26"/>
      <c r="F78" s="26"/>
      <c r="G78" s="26"/>
      <c r="H78" s="25"/>
    </row>
    <row r="79" spans="1:8" x14ac:dyDescent="0.3">
      <c r="A79" s="18" t="s">
        <v>113</v>
      </c>
      <c r="B79" s="44">
        <f>B64/B73</f>
        <v>7.0143697171619751E-2</v>
      </c>
      <c r="C79" s="26"/>
      <c r="D79" s="26"/>
      <c r="E79" s="26"/>
      <c r="F79" s="26"/>
      <c r="G79" s="26"/>
      <c r="H79" s="25"/>
    </row>
    <row r="80" spans="1:8" x14ac:dyDescent="0.3">
      <c r="A80" s="18"/>
      <c r="B80" s="26"/>
      <c r="C80" s="26"/>
      <c r="D80" s="26"/>
      <c r="E80" s="26"/>
      <c r="F80" s="26"/>
      <c r="G80" s="26"/>
      <c r="H80" s="25"/>
    </row>
    <row r="81" spans="1:14" ht="22.05" customHeight="1" x14ac:dyDescent="0.3">
      <c r="A81" s="17" t="s">
        <v>163</v>
      </c>
      <c r="B81" s="17"/>
      <c r="C81" s="17"/>
      <c r="D81" s="17"/>
      <c r="E81" s="17"/>
      <c r="F81" s="17"/>
      <c r="G81" s="17"/>
      <c r="H81" s="15"/>
    </row>
    <row r="82" spans="1:14" ht="18" customHeight="1" x14ac:dyDescent="0.3">
      <c r="A82" s="20" t="s">
        <v>114</v>
      </c>
      <c r="B82" s="39"/>
      <c r="C82" s="49">
        <v>7.4999999999999997E-2</v>
      </c>
      <c r="D82" s="49">
        <v>0.08</v>
      </c>
      <c r="E82" s="49">
        <v>8.5000000000000006E-2</v>
      </c>
      <c r="F82" s="49">
        <v>0.09</v>
      </c>
      <c r="G82" s="49">
        <v>9.5000000000000001E-2</v>
      </c>
      <c r="H82" s="45"/>
    </row>
    <row r="83" spans="1:14" x14ac:dyDescent="0.3">
      <c r="A83" s="62" t="s">
        <v>39</v>
      </c>
      <c r="B83" s="26"/>
      <c r="C83" s="42">
        <f>((((C34*50*$F$12*365/1000000+C35*Scenarios!D10*$F$13*365/1000000+C36*50*0.22*365/1000000)-C46*C37*365/1000000-$F$18*(C34*50*$F$12*365/1000000+C35*Scenarios!D10*$F$13*365/1000000+C36*50*0.22*365/1000000))-MAX((((C34*50*$F$12*365/1000000+C35*Scenarios!D10*$F$13*365/1000000+C36*50*0.22*365/1000000)-C46*C37*365/1000000-$F$18*(C34*50*$F$12*365/1000000+C35*Scenarios!D10*$F$13*365/1000000+C36*50*0.22*365/1000000))-C52),0)*$B$7-C56-$F$22*MAX(0.5,50/90)-$F$24)/(1+0.075)^0.5+(((D34*50*$F$12*365/1000000+D35*Scenarios!E10*$F$13*365/1000000+D36*50*0.22*365/1000000)-D46*D37*365/1000000-$F$18*(D34*50*$F$12*365/1000000+D35*Scenarios!E10*$F$13*365/1000000+D36*50*0.22*365/1000000))-MAX((((D34*50*$F$12*365/1000000+D35*Scenarios!E10*$F$13*365/1000000+D36*50*0.22*365/1000000)-D46*D37*365/1000000-$F$18*(D34*50*$F$12*365/1000000+D35*Scenarios!E10*$F$13*365/1000000+D36*50*0.22*365/1000000))-D52),0)*$B$7-D56-$F$22*0.985^1*MAX(0.5,50/90)-$F$24)/(1+0.075)^1.5+(((E34*50*$F$12*365/1000000+E35*Scenarios!F10*$F$13*365/1000000+E36*50*0.22*365/1000000)-E46*E37*365/1000000-$F$18*(E34*50*$F$12*365/1000000+E35*Scenarios!F10*$F$13*365/1000000+E36*50*0.22*365/1000000))-MAX((((E34*50*$F$12*365/1000000+E35*Scenarios!F10*$F$13*365/1000000+E36*50*0.22*365/1000000)-E46*E37*365/1000000-$F$18*(E34*50*$F$12*365/1000000+E35*Scenarios!F10*$F$13*365/1000000+E36*50*0.22*365/1000000))-E52),0)*$B$7-E56-$F$22*0.985^2*MAX(0.5,50/90)-$F$24)/(1+0.075)^2.5+(((F34*50*$F$12*365/1000000+F35*Scenarios!G10*$F$13*365/1000000+F36*50*0.22*365/1000000)-F46*F37*365/1000000-$F$18*(F34*50*$F$12*365/1000000+F35*Scenarios!G10*$F$13*365/1000000+F36*50*0.22*365/1000000))-MAX((((F34*50*$F$12*365/1000000+F35*Scenarios!G10*$F$13*365/1000000+F36*50*0.22*365/1000000)-F46*F37*365/1000000-$F$18*(F34*50*$F$12*365/1000000+F35*Scenarios!G10*$F$13*365/1000000+F36*50*0.22*365/1000000))-F52),0)*$B$7-F56-$F$22*0.985^3*MAX(0.5,50/90)-$F$24)/(1+0.075)^3.5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+0.075)^4.5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+0.075)^5.5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+0.075)^6.5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B$18)/(0.075-$B$18))/(1+0.075)^6.5+-$B$8)*1000/$B$4</f>
        <v>50.027617129721158</v>
      </c>
      <c r="D83" s="42">
        <f>((((C34*50*$F$12*365/1000000+C35*Scenarios!D10*$F$13*365/1000000+C36*50*0.22*365/1000000)-C46*C37*365/1000000-$F$18*(C34*50*$F$12*365/1000000+C35*Scenarios!D10*$F$13*365/1000000+C36*50*0.22*365/1000000))-MAX((((C34*50*$F$12*365/1000000+C35*Scenarios!D10*$F$13*365/1000000+C36*50*0.22*365/1000000)-C46*C37*365/1000000-$F$18*(C34*50*$F$12*365/1000000+C35*Scenarios!D10*$F$13*365/1000000+C36*50*0.22*365/1000000))-C52),0)*$B$7-C56-$F$22*MAX(0.5,50/90)-$F$24)/(1+0.08)^0.5+(((D34*50*$F$12*365/1000000+D35*Scenarios!E10*$F$13*365/1000000+D36*50*0.22*365/1000000)-D46*D37*365/1000000-$F$18*(D34*50*$F$12*365/1000000+D35*Scenarios!E10*$F$13*365/1000000+D36*50*0.22*365/1000000))-MAX((((D34*50*$F$12*365/1000000+D35*Scenarios!E10*$F$13*365/1000000+D36*50*0.22*365/1000000)-D46*D37*365/1000000-$F$18*(D34*50*$F$12*365/1000000+D35*Scenarios!E10*$F$13*365/1000000+D36*50*0.22*365/1000000))-D52),0)*$B$7-D56-$F$22*0.985^1*MAX(0.5,50/90)-$F$24)/(1+0.08)^1.5+(((E34*50*$F$12*365/1000000+E35*Scenarios!F10*$F$13*365/1000000+E36*50*0.22*365/1000000)-E46*E37*365/1000000-$F$18*(E34*50*$F$12*365/1000000+E35*Scenarios!F10*$F$13*365/1000000+E36*50*0.22*365/1000000))-MAX((((E34*50*$F$12*365/1000000+E35*Scenarios!F10*$F$13*365/1000000+E36*50*0.22*365/1000000)-E46*E37*365/1000000-$F$18*(E34*50*$F$12*365/1000000+E35*Scenarios!F10*$F$13*365/1000000+E36*50*0.22*365/1000000))-E52),0)*$B$7-E56-$F$22*0.985^2*MAX(0.5,50/90)-$F$24)/(1+0.08)^2.5+(((F34*50*$F$12*365/1000000+F35*Scenarios!G10*$F$13*365/1000000+F36*50*0.22*365/1000000)-F46*F37*365/1000000-$F$18*(F34*50*$F$12*365/1000000+F35*Scenarios!G10*$F$13*365/1000000+F36*50*0.22*365/1000000))-MAX((((F34*50*$F$12*365/1000000+F35*Scenarios!G10*$F$13*365/1000000+F36*50*0.22*365/1000000)-F46*F37*365/1000000-$F$18*(F34*50*$F$12*365/1000000+F35*Scenarios!G10*$F$13*365/1000000+F36*50*0.22*365/1000000))-F52),0)*$B$7-F56-$F$22*0.985^3*MAX(0.5,50/90)-$F$24)/(1+0.08)^3.5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+0.08)^4.5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+0.08)^5.5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+0.08)^6.5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B$18)/(0.08-$B$18))/(1+0.08)^6.5+-$B$8)*1000/$B$4</f>
        <v>45.134446621912439</v>
      </c>
      <c r="E83" s="42">
        <f>((((C34*50*$F$12*365/1000000+C35*Scenarios!D10*$F$13*365/1000000+C36*50*0.22*365/1000000)-C46*C37*365/1000000-$F$18*(C34*50*$F$12*365/1000000+C35*Scenarios!D10*$F$13*365/1000000+C36*50*0.22*365/1000000))-MAX((((C34*50*$F$12*365/1000000+C35*Scenarios!D10*$F$13*365/1000000+C36*50*0.22*365/1000000)-C46*C37*365/1000000-$F$18*(C34*50*$F$12*365/1000000+C35*Scenarios!D10*$F$13*365/1000000+C36*50*0.22*365/1000000))-C52),0)*$B$7-C56-$F$22*MAX(0.5,50/90)-$F$24)/(1+0.085)^0.5+(((D34*50*$F$12*365/1000000+D35*Scenarios!E10*$F$13*365/1000000+D36*50*0.22*365/1000000)-D46*D37*365/1000000-$F$18*(D34*50*$F$12*365/1000000+D35*Scenarios!E10*$F$13*365/1000000+D36*50*0.22*365/1000000))-MAX((((D34*50*$F$12*365/1000000+D35*Scenarios!E10*$F$13*365/1000000+D36*50*0.22*365/1000000)-D46*D37*365/1000000-$F$18*(D34*50*$F$12*365/1000000+D35*Scenarios!E10*$F$13*365/1000000+D36*50*0.22*365/1000000))-D52),0)*$B$7-D56-$F$22*0.985^1*MAX(0.5,50/90)-$F$24)/(1+0.085)^1.5+(((E34*50*$F$12*365/1000000+E35*Scenarios!F10*$F$13*365/1000000+E36*50*0.22*365/1000000)-E46*E37*365/1000000-$F$18*(E34*50*$F$12*365/1000000+E35*Scenarios!F10*$F$13*365/1000000+E36*50*0.22*365/1000000))-MAX((((E34*50*$F$12*365/1000000+E35*Scenarios!F10*$F$13*365/1000000+E36*50*0.22*365/1000000)-E46*E37*365/1000000-$F$18*(E34*50*$F$12*365/1000000+E35*Scenarios!F10*$F$13*365/1000000+E36*50*0.22*365/1000000))-E52),0)*$B$7-E56-$F$22*0.985^2*MAX(0.5,50/90)-$F$24)/(1+0.085)^2.5+(((F34*50*$F$12*365/1000000+F35*Scenarios!G10*$F$13*365/1000000+F36*50*0.22*365/1000000)-F46*F37*365/1000000-$F$18*(F34*50*$F$12*365/1000000+F35*Scenarios!G10*$F$13*365/1000000+F36*50*0.22*365/1000000))-MAX((((F34*50*$F$12*365/1000000+F35*Scenarios!G10*$F$13*365/1000000+F36*50*0.22*365/1000000)-F46*F37*365/1000000-$F$18*(F34*50*$F$12*365/1000000+F35*Scenarios!G10*$F$13*365/1000000+F36*50*0.22*365/1000000))-F52),0)*$B$7-F56-$F$22*0.985^3*MAX(0.5,50/90)-$F$24)/(1+0.085)^3.5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+0.085)^4.5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+0.085)^5.5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+0.085)^6.5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B$18)/(0.085-$B$18))/(1+0.085)^6.5+-$B$8)*1000/$B$4</f>
        <v>40.99550232071207</v>
      </c>
      <c r="F83" s="42">
        <f>((((C34*50*$F$12*365/1000000+C35*Scenarios!D10*$F$13*365/1000000+C36*50*0.22*365/1000000)-C46*C37*365/1000000-$F$18*(C34*50*$F$12*365/1000000+C35*Scenarios!D10*$F$13*365/1000000+C36*50*0.22*365/1000000))-MAX((((C34*50*$F$12*365/1000000+C35*Scenarios!D10*$F$13*365/1000000+C36*50*0.22*365/1000000)-C46*C37*365/1000000-$F$18*(C34*50*$F$12*365/1000000+C35*Scenarios!D10*$F$13*365/1000000+C36*50*0.22*365/1000000))-C52),0)*$B$7-C56-$F$22*MAX(0.5,50/90)-$F$24)/(1+0.09)^0.5+(((D34*50*$F$12*365/1000000+D35*Scenarios!E10*$F$13*365/1000000+D36*50*0.22*365/1000000)-D46*D37*365/1000000-$F$18*(D34*50*$F$12*365/1000000+D35*Scenarios!E10*$F$13*365/1000000+D36*50*0.22*365/1000000))-MAX((((D34*50*$F$12*365/1000000+D35*Scenarios!E10*$F$13*365/1000000+D36*50*0.22*365/1000000)-D46*D37*365/1000000-$F$18*(D34*50*$F$12*365/1000000+D35*Scenarios!E10*$F$13*365/1000000+D36*50*0.22*365/1000000))-D52),0)*$B$7-D56-$F$22*0.985^1*MAX(0.5,50/90)-$F$24)/(1+0.09)^1.5+(((E34*50*$F$12*365/1000000+E35*Scenarios!F10*$F$13*365/1000000+E36*50*0.22*365/1000000)-E46*E37*365/1000000-$F$18*(E34*50*$F$12*365/1000000+E35*Scenarios!F10*$F$13*365/1000000+E36*50*0.22*365/1000000))-MAX((((E34*50*$F$12*365/1000000+E35*Scenarios!F10*$F$13*365/1000000+E36*50*0.22*365/1000000)-E46*E37*365/1000000-$F$18*(E34*50*$F$12*365/1000000+E35*Scenarios!F10*$F$13*365/1000000+E36*50*0.22*365/1000000))-E52),0)*$B$7-E56-$F$22*0.985^2*MAX(0.5,50/90)-$F$24)/(1+0.09)^2.5+(((F34*50*$F$12*365/1000000+F35*Scenarios!G10*$F$13*365/1000000+F36*50*0.22*365/1000000)-F46*F37*365/1000000-$F$18*(F34*50*$F$12*365/1000000+F35*Scenarios!G10*$F$13*365/1000000+F36*50*0.22*365/1000000))-MAX((((F34*50*$F$12*365/1000000+F35*Scenarios!G10*$F$13*365/1000000+F36*50*0.22*365/1000000)-F46*F37*365/1000000-$F$18*(F34*50*$F$12*365/1000000+F35*Scenarios!G10*$F$13*365/1000000+F36*50*0.22*365/1000000))-F52),0)*$B$7-F56-$F$22*0.985^3*MAX(0.5,50/90)-$F$24)/(1+0.09)^3.5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+0.09)^4.5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+0.09)^5.5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+0.09)^6.5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B$18)/(0.09-$B$18))/(1+0.09)^6.5+-$B$8)*1000/$B$4</f>
        <v>37.449133593622101</v>
      </c>
      <c r="G83" s="42">
        <f>((((C34*50*$F$12*365/1000000+C35*Scenarios!D10*$F$13*365/1000000+C36*50*0.22*365/1000000)-C46*C37*365/1000000-$F$18*(C34*50*$F$12*365/1000000+C35*Scenarios!D10*$F$13*365/1000000+C36*50*0.22*365/1000000))-MAX((((C34*50*$F$12*365/1000000+C35*Scenarios!D10*$F$13*365/1000000+C36*50*0.22*365/1000000)-C46*C37*365/1000000-$F$18*(C34*50*$F$12*365/1000000+C35*Scenarios!D10*$F$13*365/1000000+C36*50*0.22*365/1000000))-C52),0)*$B$7-C56-$F$22*MAX(0.5,50/90)-$F$24)/(1+0.095)^0.5+(((D34*50*$F$12*365/1000000+D35*Scenarios!E10*$F$13*365/1000000+D36*50*0.22*365/1000000)-D46*D37*365/1000000-$F$18*(D34*50*$F$12*365/1000000+D35*Scenarios!E10*$F$13*365/1000000+D36*50*0.22*365/1000000))-MAX((((D34*50*$F$12*365/1000000+D35*Scenarios!E10*$F$13*365/1000000+D36*50*0.22*365/1000000)-D46*D37*365/1000000-$F$18*(D34*50*$F$12*365/1000000+D35*Scenarios!E10*$F$13*365/1000000+D36*50*0.22*365/1000000))-D52),0)*$B$7-D56-$F$22*0.985^1*MAX(0.5,50/90)-$F$24)/(1+0.095)^1.5+(((E34*50*$F$12*365/1000000+E35*Scenarios!F10*$F$13*365/1000000+E36*50*0.22*365/1000000)-E46*E37*365/1000000-$F$18*(E34*50*$F$12*365/1000000+E35*Scenarios!F10*$F$13*365/1000000+E36*50*0.22*365/1000000))-MAX((((E34*50*$F$12*365/1000000+E35*Scenarios!F10*$F$13*365/1000000+E36*50*0.22*365/1000000)-E46*E37*365/1000000-$F$18*(E34*50*$F$12*365/1000000+E35*Scenarios!F10*$F$13*365/1000000+E36*50*0.22*365/1000000))-E52),0)*$B$7-E56-$F$22*0.985^2*MAX(0.5,50/90)-$F$24)/(1+0.095)^2.5+(((F34*50*$F$12*365/1000000+F35*Scenarios!G10*$F$13*365/1000000+F36*50*0.22*365/1000000)-F46*F37*365/1000000-$F$18*(F34*50*$F$12*365/1000000+F35*Scenarios!G10*$F$13*365/1000000+F36*50*0.22*365/1000000))-MAX((((F34*50*$F$12*365/1000000+F35*Scenarios!G10*$F$13*365/1000000+F36*50*0.22*365/1000000)-F46*F37*365/1000000-$F$18*(F34*50*$F$12*365/1000000+F35*Scenarios!G10*$F$13*365/1000000+F36*50*0.22*365/1000000))-F52),0)*$B$7-F56-$F$22*0.985^3*MAX(0.5,50/90)-$F$24)/(1+0.095)^3.5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+0.095)^4.5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+0.095)^5.5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+0.095)^6.5+((((G34*50*$F$12*365/1000000+G35*Scenarios!H10*$F$13*365/1000000+G36*50*0.22*365/1000000)-G46*G37*365/1000000-$F$18*(G34*50*$F$12*365/1000000+G35*Scenarios!H10*$F$13*365/1000000+G36*50*0.22*365/1000000))-MAX((((G34*50*$F$12*365/1000000+G35*Scenarios!H10*$F$13*365/1000000+G36*50*0.22*365/1000000)-G46*G37*365/1000000-$F$18*(G34*50*$F$12*365/1000000+G35*Scenarios!H10*$F$13*365/1000000+G36*50*0.22*365/1000000))-G52),0)*$B$7-G56-$F$22*0.985^4*MAX(0.5,50/90)-$F$24)*1.025*1.02*(1+$B$18)/(0.095-$B$18))/(1+0.095)^6.5+-$B$8)*1000/$B$4</f>
        <v>34.376797420678933</v>
      </c>
      <c r="H83" s="25"/>
    </row>
    <row r="84" spans="1:14" x14ac:dyDescent="0.3">
      <c r="A84" s="62" t="s">
        <v>40</v>
      </c>
      <c r="B84" s="26"/>
      <c r="C84" s="42">
        <f>((((C34*55*$F$12*365/1000000+C35*Scenarios!D10*$F$13*365/1000000+C36*55*0.22*365/1000000)-C46*C37*365/1000000-$F$18*(C34*55*$F$12*365/1000000+C35*Scenarios!D10*$F$13*365/1000000+C36*55*0.22*365/1000000))-MAX((((C34*55*$F$12*365/1000000+C35*Scenarios!D10*$F$13*365/1000000+C36*55*0.22*365/1000000)-C46*C37*365/1000000-$F$18*(C34*55*$F$12*365/1000000+C35*Scenarios!D10*$F$13*365/1000000+C36*55*0.22*365/1000000))-C52),0)*$B$7-C56-$F$22*MAX(0.5,55/90)-$F$24)/(1+0.075)^0.5+(((D34*55*$F$12*365/1000000+D35*Scenarios!E10*$F$13*365/1000000+D36*55*0.22*365/1000000)-D46*D37*365/1000000-$F$18*(D34*55*$F$12*365/1000000+D35*Scenarios!E10*$F$13*365/1000000+D36*55*0.22*365/1000000))-MAX((((D34*55*$F$12*365/1000000+D35*Scenarios!E10*$F$13*365/1000000+D36*55*0.22*365/1000000)-D46*D37*365/1000000-$F$18*(D34*55*$F$12*365/1000000+D35*Scenarios!E10*$F$13*365/1000000+D36*55*0.22*365/1000000))-D52),0)*$B$7-D56-$F$22*0.985^1*MAX(0.5,55/90)-$F$24)/(1+0.075)^1.5+(((E34*55*$F$12*365/1000000+E35*Scenarios!F10*$F$13*365/1000000+E36*55*0.22*365/1000000)-E46*E37*365/1000000-$F$18*(E34*55*$F$12*365/1000000+E35*Scenarios!F10*$F$13*365/1000000+E36*55*0.22*365/1000000))-MAX((((E34*55*$F$12*365/1000000+E35*Scenarios!F10*$F$13*365/1000000+E36*55*0.22*365/1000000)-E46*E37*365/1000000-$F$18*(E34*55*$F$12*365/1000000+E35*Scenarios!F10*$F$13*365/1000000+E36*55*0.22*365/1000000))-E52),0)*$B$7-E56-$F$22*0.985^2*MAX(0.5,55/90)-$F$24)/(1+0.075)^2.5+(((F34*55*$F$12*365/1000000+F35*Scenarios!G10*$F$13*365/1000000+F36*55*0.22*365/1000000)-F46*F37*365/1000000-$F$18*(F34*55*$F$12*365/1000000+F35*Scenarios!G10*$F$13*365/1000000+F36*55*0.22*365/1000000))-MAX((((F34*55*$F$12*365/1000000+F35*Scenarios!G10*$F$13*365/1000000+F36*55*0.22*365/1000000)-F46*F37*365/1000000-$F$18*(F34*55*$F$12*365/1000000+F35*Scenarios!G10*$F$13*365/1000000+F36*55*0.22*365/1000000))-F52),0)*$B$7-F56-$F$22*0.985^3*MAX(0.5,55/90)-$F$24)/(1+0.075)^3.5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+0.075)^4.5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+0.075)^5.5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+0.075)^6.5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B$18)/(0.075-$B$18))/(1+0.075)^6.5+-$B$8)*1000/$B$4</f>
        <v>73.026588794996997</v>
      </c>
      <c r="D84" s="42">
        <f>((((C34*55*$F$12*365/1000000+C35*Scenarios!D10*$F$13*365/1000000+C36*55*0.22*365/1000000)-C46*C37*365/1000000-$F$18*(C34*55*$F$12*365/1000000+C35*Scenarios!D10*$F$13*365/1000000+C36*55*0.22*365/1000000))-MAX((((C34*55*$F$12*365/1000000+C35*Scenarios!D10*$F$13*365/1000000+C36*55*0.22*365/1000000)-C46*C37*365/1000000-$F$18*(C34*55*$F$12*365/1000000+C35*Scenarios!D10*$F$13*365/1000000+C36*55*0.22*365/1000000))-C52),0)*$B$7-C56-$F$22*MAX(0.5,55/90)-$F$24)/(1+0.08)^0.5+(((D34*55*$F$12*365/1000000+D35*Scenarios!E10*$F$13*365/1000000+D36*55*0.22*365/1000000)-D46*D37*365/1000000-$F$18*(D34*55*$F$12*365/1000000+D35*Scenarios!E10*$F$13*365/1000000+D36*55*0.22*365/1000000))-MAX((((D34*55*$F$12*365/1000000+D35*Scenarios!E10*$F$13*365/1000000+D36*55*0.22*365/1000000)-D46*D37*365/1000000-$F$18*(D34*55*$F$12*365/1000000+D35*Scenarios!E10*$F$13*365/1000000+D36*55*0.22*365/1000000))-D52),0)*$B$7-D56-$F$22*0.985^1*MAX(0.5,55/90)-$F$24)/(1+0.08)^1.5+(((E34*55*$F$12*365/1000000+E35*Scenarios!F10*$F$13*365/1000000+E36*55*0.22*365/1000000)-E46*E37*365/1000000-$F$18*(E34*55*$F$12*365/1000000+E35*Scenarios!F10*$F$13*365/1000000+E36*55*0.22*365/1000000))-MAX((((E34*55*$F$12*365/1000000+E35*Scenarios!F10*$F$13*365/1000000+E36*55*0.22*365/1000000)-E46*E37*365/1000000-$F$18*(E34*55*$F$12*365/1000000+E35*Scenarios!F10*$F$13*365/1000000+E36*55*0.22*365/1000000))-E52),0)*$B$7-E56-$F$22*0.985^2*MAX(0.5,55/90)-$F$24)/(1+0.08)^2.5+(((F34*55*$F$12*365/1000000+F35*Scenarios!G10*$F$13*365/1000000+F36*55*0.22*365/1000000)-F46*F37*365/1000000-$F$18*(F34*55*$F$12*365/1000000+F35*Scenarios!G10*$F$13*365/1000000+F36*55*0.22*365/1000000))-MAX((((F34*55*$F$12*365/1000000+F35*Scenarios!G10*$F$13*365/1000000+F36*55*0.22*365/1000000)-F46*F37*365/1000000-$F$18*(F34*55*$F$12*365/1000000+F35*Scenarios!G10*$F$13*365/1000000+F36*55*0.22*365/1000000))-F52),0)*$B$7-F56-$F$22*0.985^3*MAX(0.5,55/90)-$F$24)/(1+0.08)^3.5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+0.08)^4.5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+0.08)^5.5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+0.08)^6.5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B$18)/(0.08-$B$18))/(1+0.08)^6.5+-$B$8)*1000/$B$4</f>
        <v>66.249479849367745</v>
      </c>
      <c r="E84" s="42">
        <f>((((C34*55*$F$12*365/1000000+C35*Scenarios!D10*$F$13*365/1000000+C36*55*0.22*365/1000000)-C46*C37*365/1000000-$F$18*(C34*55*$F$12*365/1000000+C35*Scenarios!D10*$F$13*365/1000000+C36*55*0.22*365/1000000))-MAX((((C34*55*$F$12*365/1000000+C35*Scenarios!D10*$F$13*365/1000000+C36*55*0.22*365/1000000)-C46*C37*365/1000000-$F$18*(C34*55*$F$12*365/1000000+C35*Scenarios!D10*$F$13*365/1000000+C36*55*0.22*365/1000000))-C52),0)*$B$7-C56-$F$22*MAX(0.5,55/90)-$F$24)/(1+0.085)^0.5+(((D34*55*$F$12*365/1000000+D35*Scenarios!E10*$F$13*365/1000000+D36*55*0.22*365/1000000)-D46*D37*365/1000000-$F$18*(D34*55*$F$12*365/1000000+D35*Scenarios!E10*$F$13*365/1000000+D36*55*0.22*365/1000000))-MAX((((D34*55*$F$12*365/1000000+D35*Scenarios!E10*$F$13*365/1000000+D36*55*0.22*365/1000000)-D46*D37*365/1000000-$F$18*(D34*55*$F$12*365/1000000+D35*Scenarios!E10*$F$13*365/1000000+D36*55*0.22*365/1000000))-D52),0)*$B$7-D56-$F$22*0.985^1*MAX(0.5,55/90)-$F$24)/(1+0.085)^1.5+(((E34*55*$F$12*365/1000000+E35*Scenarios!F10*$F$13*365/1000000+E36*55*0.22*365/1000000)-E46*E37*365/1000000-$F$18*(E34*55*$F$12*365/1000000+E35*Scenarios!F10*$F$13*365/1000000+E36*55*0.22*365/1000000))-MAX((((E34*55*$F$12*365/1000000+E35*Scenarios!F10*$F$13*365/1000000+E36*55*0.22*365/1000000)-E46*E37*365/1000000-$F$18*(E34*55*$F$12*365/1000000+E35*Scenarios!F10*$F$13*365/1000000+E36*55*0.22*365/1000000))-E52),0)*$B$7-E56-$F$22*0.985^2*MAX(0.5,55/90)-$F$24)/(1+0.085)^2.5+(((F34*55*$F$12*365/1000000+F35*Scenarios!G10*$F$13*365/1000000+F36*55*0.22*365/1000000)-F46*F37*365/1000000-$F$18*(F34*55*$F$12*365/1000000+F35*Scenarios!G10*$F$13*365/1000000+F36*55*0.22*365/1000000))-MAX((((F34*55*$F$12*365/1000000+F35*Scenarios!G10*$F$13*365/1000000+F36*55*0.22*365/1000000)-F46*F37*365/1000000-$F$18*(F34*55*$F$12*365/1000000+F35*Scenarios!G10*$F$13*365/1000000+F36*55*0.22*365/1000000))-F52),0)*$B$7-F56-$F$22*0.985^3*MAX(0.5,55/90)-$F$24)/(1+0.085)^3.5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+0.085)^4.5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+0.085)^5.5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+0.085)^6.5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B$18)/(0.085-$B$18))/(1+0.085)^6.5+-$B$8)*1000/$B$4</f>
        <v>60.516525080806268</v>
      </c>
      <c r="F84" s="42">
        <f>((((C34*55*$F$12*365/1000000+C35*Scenarios!D10*$F$13*365/1000000+C36*55*0.22*365/1000000)-C46*C37*365/1000000-$F$18*(C34*55*$F$12*365/1000000+C35*Scenarios!D10*$F$13*365/1000000+C36*55*0.22*365/1000000))-MAX((((C34*55*$F$12*365/1000000+C35*Scenarios!D10*$F$13*365/1000000+C36*55*0.22*365/1000000)-C46*C37*365/1000000-$F$18*(C34*55*$F$12*365/1000000+C35*Scenarios!D10*$F$13*365/1000000+C36*55*0.22*365/1000000))-C52),0)*$B$7-C56-$F$22*MAX(0.5,55/90)-$F$24)/(1+0.09)^0.5+(((D34*55*$F$12*365/1000000+D35*Scenarios!E10*$F$13*365/1000000+D36*55*0.22*365/1000000)-D46*D37*365/1000000-$F$18*(D34*55*$F$12*365/1000000+D35*Scenarios!E10*$F$13*365/1000000+D36*55*0.22*365/1000000))-MAX((((D34*55*$F$12*365/1000000+D35*Scenarios!E10*$F$13*365/1000000+D36*55*0.22*365/1000000)-D46*D37*365/1000000-$F$18*(D34*55*$F$12*365/1000000+D35*Scenarios!E10*$F$13*365/1000000+D36*55*0.22*365/1000000))-D52),0)*$B$7-D56-$F$22*0.985^1*MAX(0.5,55/90)-$F$24)/(1+0.09)^1.5+(((E34*55*$F$12*365/1000000+E35*Scenarios!F10*$F$13*365/1000000+E36*55*0.22*365/1000000)-E46*E37*365/1000000-$F$18*(E34*55*$F$12*365/1000000+E35*Scenarios!F10*$F$13*365/1000000+E36*55*0.22*365/1000000))-MAX((((E34*55*$F$12*365/1000000+E35*Scenarios!F10*$F$13*365/1000000+E36*55*0.22*365/1000000)-E46*E37*365/1000000-$F$18*(E34*55*$F$12*365/1000000+E35*Scenarios!F10*$F$13*365/1000000+E36*55*0.22*365/1000000))-E52),0)*$B$7-E56-$F$22*0.985^2*MAX(0.5,55/90)-$F$24)/(1+0.09)^2.5+(((F34*55*$F$12*365/1000000+F35*Scenarios!G10*$F$13*365/1000000+F36*55*0.22*365/1000000)-F46*F37*365/1000000-$F$18*(F34*55*$F$12*365/1000000+F35*Scenarios!G10*$F$13*365/1000000+F36*55*0.22*365/1000000))-MAX((((F34*55*$F$12*365/1000000+F35*Scenarios!G10*$F$13*365/1000000+F36*55*0.22*365/1000000)-F46*F37*365/1000000-$F$18*(F34*55*$F$12*365/1000000+F35*Scenarios!G10*$F$13*365/1000000+F36*55*0.22*365/1000000))-F52),0)*$B$7-F56-$F$22*0.985^3*MAX(0.5,55/90)-$F$24)/(1+0.09)^3.5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+0.09)^4.5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+0.09)^5.5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+0.09)^6.5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B$18)/(0.09-$B$18))/(1+0.09)^6.5+-$B$8)*1000/$B$4</f>
        <v>55.603943187012383</v>
      </c>
      <c r="G84" s="42">
        <f>((((C34*55*$F$12*365/1000000+C35*Scenarios!D10*$F$13*365/1000000+C36*55*0.22*365/1000000)-C46*C37*365/1000000-$F$18*(C34*55*$F$12*365/1000000+C35*Scenarios!D10*$F$13*365/1000000+C36*55*0.22*365/1000000))-MAX((((C34*55*$F$12*365/1000000+C35*Scenarios!D10*$F$13*365/1000000+C36*55*0.22*365/1000000)-C46*C37*365/1000000-$F$18*(C34*55*$F$12*365/1000000+C35*Scenarios!D10*$F$13*365/1000000+C36*55*0.22*365/1000000))-C52),0)*$B$7-C56-$F$22*MAX(0.5,55/90)-$F$24)/(1+0.095)^0.5+(((D34*55*$F$12*365/1000000+D35*Scenarios!E10*$F$13*365/1000000+D36*55*0.22*365/1000000)-D46*D37*365/1000000-$F$18*(D34*55*$F$12*365/1000000+D35*Scenarios!E10*$F$13*365/1000000+D36*55*0.22*365/1000000))-MAX((((D34*55*$F$12*365/1000000+D35*Scenarios!E10*$F$13*365/1000000+D36*55*0.22*365/1000000)-D46*D37*365/1000000-$F$18*(D34*55*$F$12*365/1000000+D35*Scenarios!E10*$F$13*365/1000000+D36*55*0.22*365/1000000))-D52),0)*$B$7-D56-$F$22*0.985^1*MAX(0.5,55/90)-$F$24)/(1+0.095)^1.5+(((E34*55*$F$12*365/1000000+E35*Scenarios!F10*$F$13*365/1000000+E36*55*0.22*365/1000000)-E46*E37*365/1000000-$F$18*(E34*55*$F$12*365/1000000+E35*Scenarios!F10*$F$13*365/1000000+E36*55*0.22*365/1000000))-MAX((((E34*55*$F$12*365/1000000+E35*Scenarios!F10*$F$13*365/1000000+E36*55*0.22*365/1000000)-E46*E37*365/1000000-$F$18*(E34*55*$F$12*365/1000000+E35*Scenarios!F10*$F$13*365/1000000+E36*55*0.22*365/1000000))-E52),0)*$B$7-E56-$F$22*0.985^2*MAX(0.5,55/90)-$F$24)/(1+0.095)^2.5+(((F34*55*$F$12*365/1000000+F35*Scenarios!G10*$F$13*365/1000000+F36*55*0.22*365/1000000)-F46*F37*365/1000000-$F$18*(F34*55*$F$12*365/1000000+F35*Scenarios!G10*$F$13*365/1000000+F36*55*0.22*365/1000000))-MAX((((F34*55*$F$12*365/1000000+F35*Scenarios!G10*$F$13*365/1000000+F36*55*0.22*365/1000000)-F46*F37*365/1000000-$F$18*(F34*55*$F$12*365/1000000+F35*Scenarios!G10*$F$13*365/1000000+F36*55*0.22*365/1000000))-F52),0)*$B$7-F56-$F$22*0.985^3*MAX(0.5,55/90)-$F$24)/(1+0.095)^3.5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+0.095)^4.5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+0.095)^5.5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+0.095)^6.5+((((G34*55*$F$12*365/1000000+G35*Scenarios!H10*$F$13*365/1000000+G36*55*0.22*365/1000000)-G46*G37*365/1000000-$F$18*(G34*55*$F$12*365/1000000+G35*Scenarios!H10*$F$13*365/1000000+G36*55*0.22*365/1000000))-MAX((((G34*55*$F$12*365/1000000+G35*Scenarios!H10*$F$13*365/1000000+G36*55*0.22*365/1000000)-G46*G37*365/1000000-$F$18*(G34*55*$F$12*365/1000000+G35*Scenarios!H10*$F$13*365/1000000+G36*55*0.22*365/1000000))-G52),0)*$B$7-G56-$F$22*0.985^4*MAX(0.5,55/90)-$F$24)*1.025*1.02*(1+$B$18)/(0.095-$B$18))/(1+0.095)^6.5+-$B$8)*1000/$B$4</f>
        <v>51.34762875021908</v>
      </c>
      <c r="H84" s="25"/>
    </row>
    <row r="85" spans="1:14" x14ac:dyDescent="0.3">
      <c r="A85" s="62" t="s">
        <v>14</v>
      </c>
      <c r="B85" s="26"/>
      <c r="C85" s="42">
        <f>((((C34*60*$F$12*365/1000000+C35*Scenarios!D10*$F$13*365/1000000+C36*60*0.22*365/1000000)-C46*C37*365/1000000-$F$18*(C34*60*$F$12*365/1000000+C35*Scenarios!D10*$F$13*365/1000000+C36*60*0.22*365/1000000))-MAX((((C34*60*$F$12*365/1000000+C35*Scenarios!D10*$F$13*365/1000000+C36*60*0.22*365/1000000)-C46*C37*365/1000000-$F$18*(C34*60*$F$12*365/1000000+C35*Scenarios!D10*$F$13*365/1000000+C36*60*0.22*365/1000000))-C52),0)*$B$7-C56-$F$22*MAX(0.5,60/90)-$F$24)/(1+0.075)^0.5+(((D34*60*$F$12*365/1000000+D35*Scenarios!E10*$F$13*365/1000000+D36*60*0.22*365/1000000)-D46*D37*365/1000000-$F$18*(D34*60*$F$12*365/1000000+D35*Scenarios!E10*$F$13*365/1000000+D36*60*0.22*365/1000000))-MAX((((D34*60*$F$12*365/1000000+D35*Scenarios!E10*$F$13*365/1000000+D36*60*0.22*365/1000000)-D46*D37*365/1000000-$F$18*(D34*60*$F$12*365/1000000+D35*Scenarios!E10*$F$13*365/1000000+D36*60*0.22*365/1000000))-D52),0)*$B$7-D56-$F$22*0.985^1*MAX(0.5,60/90)-$F$24)/(1+0.075)^1.5+(((E34*60*$F$12*365/1000000+E35*Scenarios!F10*$F$13*365/1000000+E36*60*0.22*365/1000000)-E46*E37*365/1000000-$F$18*(E34*60*$F$12*365/1000000+E35*Scenarios!F10*$F$13*365/1000000+E36*60*0.22*365/1000000))-MAX((((E34*60*$F$12*365/1000000+E35*Scenarios!F10*$F$13*365/1000000+E36*60*0.22*365/1000000)-E46*E37*365/1000000-$F$18*(E34*60*$F$12*365/1000000+E35*Scenarios!F10*$F$13*365/1000000+E36*60*0.22*365/1000000))-E52),0)*$B$7-E56-$F$22*0.985^2*MAX(0.5,60/90)-$F$24)/(1+0.075)^2.5+(((F34*60*$F$12*365/1000000+F35*Scenarios!G10*$F$13*365/1000000+F36*60*0.22*365/1000000)-F46*F37*365/1000000-$F$18*(F34*60*$F$12*365/1000000+F35*Scenarios!G10*$F$13*365/1000000+F36*60*0.22*365/1000000))-MAX((((F34*60*$F$12*365/1000000+F35*Scenarios!G10*$F$13*365/1000000+F36*60*0.22*365/1000000)-F46*F37*365/1000000-$F$18*(F34*60*$F$12*365/1000000+F35*Scenarios!G10*$F$13*365/1000000+F36*60*0.22*365/1000000))-F52),0)*$B$7-F56-$F$22*0.985^3*MAX(0.5,60/90)-$F$24)/(1+0.075)^3.5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+0.075)^4.5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+0.075)^5.5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+0.075)^6.5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B$18)/(0.075-$B$18))/(1+0.075)^6.5+-$B$8)*1000/$B$4</f>
        <v>96.025560460272843</v>
      </c>
      <c r="D85" s="42">
        <f>((((C34*60*$F$12*365/1000000+C35*Scenarios!D10*$F$13*365/1000000+C36*60*0.22*365/1000000)-C46*C37*365/1000000-$F$18*(C34*60*$F$12*365/1000000+C35*Scenarios!D10*$F$13*365/1000000+C36*60*0.22*365/1000000))-MAX((((C34*60*$F$12*365/1000000+C35*Scenarios!D10*$F$13*365/1000000+C36*60*0.22*365/1000000)-C46*C37*365/1000000-$F$18*(C34*60*$F$12*365/1000000+C35*Scenarios!D10*$F$13*365/1000000+C36*60*0.22*365/1000000))-C52),0)*$B$7-C56-$F$22*MAX(0.5,60/90)-$F$24)/(1+0.08)^0.5+(((D34*60*$F$12*365/1000000+D35*Scenarios!E10*$F$13*365/1000000+D36*60*0.22*365/1000000)-D46*D37*365/1000000-$F$18*(D34*60*$F$12*365/1000000+D35*Scenarios!E10*$F$13*365/1000000+D36*60*0.22*365/1000000))-MAX((((D34*60*$F$12*365/1000000+D35*Scenarios!E10*$F$13*365/1000000+D36*60*0.22*365/1000000)-D46*D37*365/1000000-$F$18*(D34*60*$F$12*365/1000000+D35*Scenarios!E10*$F$13*365/1000000+D36*60*0.22*365/1000000))-D52),0)*$B$7-D56-$F$22*0.985^1*MAX(0.5,60/90)-$F$24)/(1+0.08)^1.5+(((E34*60*$F$12*365/1000000+E35*Scenarios!F10*$F$13*365/1000000+E36*60*0.22*365/1000000)-E46*E37*365/1000000-$F$18*(E34*60*$F$12*365/1000000+E35*Scenarios!F10*$F$13*365/1000000+E36*60*0.22*365/1000000))-MAX((((E34*60*$F$12*365/1000000+E35*Scenarios!F10*$F$13*365/1000000+E36*60*0.22*365/1000000)-E46*E37*365/1000000-$F$18*(E34*60*$F$12*365/1000000+E35*Scenarios!F10*$F$13*365/1000000+E36*60*0.22*365/1000000))-E52),0)*$B$7-E56-$F$22*0.985^2*MAX(0.5,60/90)-$F$24)/(1+0.08)^2.5+(((F34*60*$F$12*365/1000000+F35*Scenarios!G10*$F$13*365/1000000+F36*60*0.22*365/1000000)-F46*F37*365/1000000-$F$18*(F34*60*$F$12*365/1000000+F35*Scenarios!G10*$F$13*365/1000000+F36*60*0.22*365/1000000))-MAX((((F34*60*$F$12*365/1000000+F35*Scenarios!G10*$F$13*365/1000000+F36*60*0.22*365/1000000)-F46*F37*365/1000000-$F$18*(F34*60*$F$12*365/1000000+F35*Scenarios!G10*$F$13*365/1000000+F36*60*0.22*365/1000000))-F52),0)*$B$7-F56-$F$22*0.985^3*MAX(0.5,60/90)-$F$24)/(1+0.08)^3.5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+0.08)^4.5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+0.08)^5.5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+0.08)^6.5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B$18)/(0.08-$B$18))/(1+0.08)^6.5+-$B$8)*1000/$B$4</f>
        <v>87.364513076823044</v>
      </c>
      <c r="E85" s="42">
        <f>((((C34*60*$F$12*365/1000000+C35*Scenarios!D10*$F$13*365/1000000+C36*60*0.22*365/1000000)-C46*C37*365/1000000-$F$18*(C34*60*$F$12*365/1000000+C35*Scenarios!D10*$F$13*365/1000000+C36*60*0.22*365/1000000))-MAX((((C34*60*$F$12*365/1000000+C35*Scenarios!D10*$F$13*365/1000000+C36*60*0.22*365/1000000)-C46*C37*365/1000000-$F$18*(C34*60*$F$12*365/1000000+C35*Scenarios!D10*$F$13*365/1000000+C36*60*0.22*365/1000000))-C52),0)*$B$7-C56-$F$22*MAX(0.5,60/90)-$F$24)/(1+0.085)^0.5+(((D34*60*$F$12*365/1000000+D35*Scenarios!E10*$F$13*365/1000000+D36*60*0.22*365/1000000)-D46*D37*365/1000000-$F$18*(D34*60*$F$12*365/1000000+D35*Scenarios!E10*$F$13*365/1000000+D36*60*0.22*365/1000000))-MAX((((D34*60*$F$12*365/1000000+D35*Scenarios!E10*$F$13*365/1000000+D36*60*0.22*365/1000000)-D46*D37*365/1000000-$F$18*(D34*60*$F$12*365/1000000+D35*Scenarios!E10*$F$13*365/1000000+D36*60*0.22*365/1000000))-D52),0)*$B$7-D56-$F$22*0.985^1*MAX(0.5,60/90)-$F$24)/(1+0.085)^1.5+(((E34*60*$F$12*365/1000000+E35*Scenarios!F10*$F$13*365/1000000+E36*60*0.22*365/1000000)-E46*E37*365/1000000-$F$18*(E34*60*$F$12*365/1000000+E35*Scenarios!F10*$F$13*365/1000000+E36*60*0.22*365/1000000))-MAX((((E34*60*$F$12*365/1000000+E35*Scenarios!F10*$F$13*365/1000000+E36*60*0.22*365/1000000)-E46*E37*365/1000000-$F$18*(E34*60*$F$12*365/1000000+E35*Scenarios!F10*$F$13*365/1000000+E36*60*0.22*365/1000000))-E52),0)*$B$7-E56-$F$22*0.985^2*MAX(0.5,60/90)-$F$24)/(1+0.085)^2.5+(((F34*60*$F$12*365/1000000+F35*Scenarios!G10*$F$13*365/1000000+F36*60*0.22*365/1000000)-F46*F37*365/1000000-$F$18*(F34*60*$F$12*365/1000000+F35*Scenarios!G10*$F$13*365/1000000+F36*60*0.22*365/1000000))-MAX((((F34*60*$F$12*365/1000000+F35*Scenarios!G10*$F$13*365/1000000+F36*60*0.22*365/1000000)-F46*F37*365/1000000-$F$18*(F34*60*$F$12*365/1000000+F35*Scenarios!G10*$F$13*365/1000000+F36*60*0.22*365/1000000))-F52),0)*$B$7-F56-$F$22*0.985^3*MAX(0.5,60/90)-$F$24)/(1+0.085)^3.5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+0.085)^4.5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+0.085)^5.5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+0.085)^6.5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B$18)/(0.085-$B$18))/(1+0.085)^6.5+-$B$8)*1000/$B$4</f>
        <v>80.037547840900501</v>
      </c>
      <c r="F85" s="42">
        <f>((((C34*60*$F$12*365/1000000+C35*Scenarios!D10*$F$13*365/1000000+C36*60*0.22*365/1000000)-C46*C37*365/1000000-$F$18*(C34*60*$F$12*365/1000000+C35*Scenarios!D10*$F$13*365/1000000+C36*60*0.22*365/1000000))-MAX((((C34*60*$F$12*365/1000000+C35*Scenarios!D10*$F$13*365/1000000+C36*60*0.22*365/1000000)-C46*C37*365/1000000-$F$18*(C34*60*$F$12*365/1000000+C35*Scenarios!D10*$F$13*365/1000000+C36*60*0.22*365/1000000))-C52),0)*$B$7-C56-$F$22*MAX(0.5,60/90)-$F$24)/(1+0.09)^0.5+(((D34*60*$F$12*365/1000000+D35*Scenarios!E10*$F$13*365/1000000+D36*60*0.22*365/1000000)-D46*D37*365/1000000-$F$18*(D34*60*$F$12*365/1000000+D35*Scenarios!E10*$F$13*365/1000000+D36*60*0.22*365/1000000))-MAX((((D34*60*$F$12*365/1000000+D35*Scenarios!E10*$F$13*365/1000000+D36*60*0.22*365/1000000)-D46*D37*365/1000000-$F$18*(D34*60*$F$12*365/1000000+D35*Scenarios!E10*$F$13*365/1000000+D36*60*0.22*365/1000000))-D52),0)*$B$7-D56-$F$22*0.985^1*MAX(0.5,60/90)-$F$24)/(1+0.09)^1.5+(((E34*60*$F$12*365/1000000+E35*Scenarios!F10*$F$13*365/1000000+E36*60*0.22*365/1000000)-E46*E37*365/1000000-$F$18*(E34*60*$F$12*365/1000000+E35*Scenarios!F10*$F$13*365/1000000+E36*60*0.22*365/1000000))-MAX((((E34*60*$F$12*365/1000000+E35*Scenarios!F10*$F$13*365/1000000+E36*60*0.22*365/1000000)-E46*E37*365/1000000-$F$18*(E34*60*$F$12*365/1000000+E35*Scenarios!F10*$F$13*365/1000000+E36*60*0.22*365/1000000))-E52),0)*$B$7-E56-$F$22*0.985^2*MAX(0.5,60/90)-$F$24)/(1+0.09)^2.5+(((F34*60*$F$12*365/1000000+F35*Scenarios!G10*$F$13*365/1000000+F36*60*0.22*365/1000000)-F46*F37*365/1000000-$F$18*(F34*60*$F$12*365/1000000+F35*Scenarios!G10*$F$13*365/1000000+F36*60*0.22*365/1000000))-MAX((((F34*60*$F$12*365/1000000+F35*Scenarios!G10*$F$13*365/1000000+F36*60*0.22*365/1000000)-F46*F37*365/1000000-$F$18*(F34*60*$F$12*365/1000000+F35*Scenarios!G10*$F$13*365/1000000+F36*60*0.22*365/1000000))-F52),0)*$B$7-F56-$F$22*0.985^3*MAX(0.5,60/90)-$F$24)/(1+0.09)^3.5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+0.09)^4.5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+0.09)^5.5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+0.09)^6.5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B$18)/(0.09-$B$18))/(1+0.09)^6.5+-$B$8)*1000/$B$4</f>
        <v>73.758752780402716</v>
      </c>
      <c r="G85" s="42">
        <f>((((C34*60*$F$12*365/1000000+C35*Scenarios!D10*$F$13*365/1000000+C36*60*0.22*365/1000000)-C46*C37*365/1000000-$F$18*(C34*60*$F$12*365/1000000+C35*Scenarios!D10*$F$13*365/1000000+C36*60*0.22*365/1000000))-MAX((((C34*60*$F$12*365/1000000+C35*Scenarios!D10*$F$13*365/1000000+C36*60*0.22*365/1000000)-C46*C37*365/1000000-$F$18*(C34*60*$F$12*365/1000000+C35*Scenarios!D10*$F$13*365/1000000+C36*60*0.22*365/1000000))-C52),0)*$B$7-C56-$F$22*MAX(0.5,60/90)-$F$24)/(1+0.095)^0.5+(((D34*60*$F$12*365/1000000+D35*Scenarios!E10*$F$13*365/1000000+D36*60*0.22*365/1000000)-D46*D37*365/1000000-$F$18*(D34*60*$F$12*365/1000000+D35*Scenarios!E10*$F$13*365/1000000+D36*60*0.22*365/1000000))-MAX((((D34*60*$F$12*365/1000000+D35*Scenarios!E10*$F$13*365/1000000+D36*60*0.22*365/1000000)-D46*D37*365/1000000-$F$18*(D34*60*$F$12*365/1000000+D35*Scenarios!E10*$F$13*365/1000000+D36*60*0.22*365/1000000))-D52),0)*$B$7-D56-$F$22*0.985^1*MAX(0.5,60/90)-$F$24)/(1+0.095)^1.5+(((E34*60*$F$12*365/1000000+E35*Scenarios!F10*$F$13*365/1000000+E36*60*0.22*365/1000000)-E46*E37*365/1000000-$F$18*(E34*60*$F$12*365/1000000+E35*Scenarios!F10*$F$13*365/1000000+E36*60*0.22*365/1000000))-MAX((((E34*60*$F$12*365/1000000+E35*Scenarios!F10*$F$13*365/1000000+E36*60*0.22*365/1000000)-E46*E37*365/1000000-$F$18*(E34*60*$F$12*365/1000000+E35*Scenarios!F10*$F$13*365/1000000+E36*60*0.22*365/1000000))-E52),0)*$B$7-E56-$F$22*0.985^2*MAX(0.5,60/90)-$F$24)/(1+0.095)^2.5+(((F34*60*$F$12*365/1000000+F35*Scenarios!G10*$F$13*365/1000000+F36*60*0.22*365/1000000)-F46*F37*365/1000000-$F$18*(F34*60*$F$12*365/1000000+F35*Scenarios!G10*$F$13*365/1000000+F36*60*0.22*365/1000000))-MAX((((F34*60*$F$12*365/1000000+F35*Scenarios!G10*$F$13*365/1000000+F36*60*0.22*365/1000000)-F46*F37*365/1000000-$F$18*(F34*60*$F$12*365/1000000+F35*Scenarios!G10*$F$13*365/1000000+F36*60*0.22*365/1000000))-F52),0)*$B$7-F56-$F$22*0.985^3*MAX(0.5,60/90)-$F$24)/(1+0.095)^3.5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+0.095)^4.5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+0.095)^5.5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+0.095)^6.5+((((G34*60*$F$12*365/1000000+G35*Scenarios!H10*$F$13*365/1000000+G36*60*0.22*365/1000000)-G46*G37*365/1000000-$F$18*(G34*60*$F$12*365/1000000+G35*Scenarios!H10*$F$13*365/1000000+G36*60*0.22*365/1000000))-MAX((((G34*60*$F$12*365/1000000+G35*Scenarios!H10*$F$13*365/1000000+G36*60*0.22*365/1000000)-G46*G37*365/1000000-$F$18*(G34*60*$F$12*365/1000000+G35*Scenarios!H10*$F$13*365/1000000+G36*60*0.22*365/1000000))-G52),0)*$B$7-G56-$F$22*0.985^4*MAX(0.5,60/90)-$F$24)*1.025*1.02*(1+$B$18)/(0.095-$B$18))/(1+0.095)^6.5+-$B$8)*1000/$B$4</f>
        <v>68.318460079759262</v>
      </c>
      <c r="H85" s="25"/>
    </row>
    <row r="86" spans="1:14" x14ac:dyDescent="0.3">
      <c r="A86" s="62" t="s">
        <v>41</v>
      </c>
      <c r="B86" s="26"/>
      <c r="C86" s="42">
        <f>((((C34*65*$F$12*365/1000000+C35*Scenarios!D10*$F$13*365/1000000+C36*65*0.22*365/1000000)-C46*C37*365/1000000-$F$18*(C34*65*$F$12*365/1000000+C35*Scenarios!D10*$F$13*365/1000000+C36*65*0.22*365/1000000))-MAX((((C34*65*$F$12*365/1000000+C35*Scenarios!D10*$F$13*365/1000000+C36*65*0.22*365/1000000)-C46*C37*365/1000000-$F$18*(C34*65*$F$12*365/1000000+C35*Scenarios!D10*$F$13*365/1000000+C36*65*0.22*365/1000000))-C52),0)*$B$7-C56-$F$22*MAX(0.5,65/90)-$F$24)/(1+0.075)^0.5+(((D34*65*$F$12*365/1000000+D35*Scenarios!E10*$F$13*365/1000000+D36*65*0.22*365/1000000)-D46*D37*365/1000000-$F$18*(D34*65*$F$12*365/1000000+D35*Scenarios!E10*$F$13*365/1000000+D36*65*0.22*365/1000000))-MAX((((D34*65*$F$12*365/1000000+D35*Scenarios!E10*$F$13*365/1000000+D36*65*0.22*365/1000000)-D46*D37*365/1000000-$F$18*(D34*65*$F$12*365/1000000+D35*Scenarios!E10*$F$13*365/1000000+D36*65*0.22*365/1000000))-D52),0)*$B$7-D56-$F$22*0.985^1*MAX(0.5,65/90)-$F$24)/(1+0.075)^1.5+(((E34*65*$F$12*365/1000000+E35*Scenarios!F10*$F$13*365/1000000+E36*65*0.22*365/1000000)-E46*E37*365/1000000-$F$18*(E34*65*$F$12*365/1000000+E35*Scenarios!F10*$F$13*365/1000000+E36*65*0.22*365/1000000))-MAX((((E34*65*$F$12*365/1000000+E35*Scenarios!F10*$F$13*365/1000000+E36*65*0.22*365/1000000)-E46*E37*365/1000000-$F$18*(E34*65*$F$12*365/1000000+E35*Scenarios!F10*$F$13*365/1000000+E36*65*0.22*365/1000000))-E52),0)*$B$7-E56-$F$22*0.985^2*MAX(0.5,65/90)-$F$24)/(1+0.075)^2.5+(((F34*65*$F$12*365/1000000+F35*Scenarios!G10*$F$13*365/1000000+F36*65*0.22*365/1000000)-F46*F37*365/1000000-$F$18*(F34*65*$F$12*365/1000000+F35*Scenarios!G10*$F$13*365/1000000+F36*65*0.22*365/1000000))-MAX((((F34*65*$F$12*365/1000000+F35*Scenarios!G10*$F$13*365/1000000+F36*65*0.22*365/1000000)-F46*F37*365/1000000-$F$18*(F34*65*$F$12*365/1000000+F35*Scenarios!G10*$F$13*365/1000000+F36*65*0.22*365/1000000))-F52),0)*$B$7-F56-$F$22*0.985^3*MAX(0.5,65/90)-$F$24)/(1+0.075)^3.5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+0.075)^4.5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+0.075)^5.5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+0.075)^6.5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B$18)/(0.075-$B$18))/(1+0.075)^6.5+-$B$8)*1000/$B$4</f>
        <v>119.02453212554873</v>
      </c>
      <c r="D86" s="42">
        <f>((((C34*65*$F$12*365/1000000+C35*Scenarios!D10*$F$13*365/1000000+C36*65*0.22*365/1000000)-C46*C37*365/1000000-$F$18*(C34*65*$F$12*365/1000000+C35*Scenarios!D10*$F$13*365/1000000+C36*65*0.22*365/1000000))-MAX((((C34*65*$F$12*365/1000000+C35*Scenarios!D10*$F$13*365/1000000+C36*65*0.22*365/1000000)-C46*C37*365/1000000-$F$18*(C34*65*$F$12*365/1000000+C35*Scenarios!D10*$F$13*365/1000000+C36*65*0.22*365/1000000))-C52),0)*$B$7-C56-$F$22*MAX(0.5,65/90)-$F$24)/(1+0.08)^0.5+(((D34*65*$F$12*365/1000000+D35*Scenarios!E10*$F$13*365/1000000+D36*65*0.22*365/1000000)-D46*D37*365/1000000-$F$18*(D34*65*$F$12*365/1000000+D35*Scenarios!E10*$F$13*365/1000000+D36*65*0.22*365/1000000))-MAX((((D34*65*$F$12*365/1000000+D35*Scenarios!E10*$F$13*365/1000000+D36*65*0.22*365/1000000)-D46*D37*365/1000000-$F$18*(D34*65*$F$12*365/1000000+D35*Scenarios!E10*$F$13*365/1000000+D36*65*0.22*365/1000000))-D52),0)*$B$7-D56-$F$22*0.985^1*MAX(0.5,65/90)-$F$24)/(1+0.08)^1.5+(((E34*65*$F$12*365/1000000+E35*Scenarios!F10*$F$13*365/1000000+E36*65*0.22*365/1000000)-E46*E37*365/1000000-$F$18*(E34*65*$F$12*365/1000000+E35*Scenarios!F10*$F$13*365/1000000+E36*65*0.22*365/1000000))-MAX((((E34*65*$F$12*365/1000000+E35*Scenarios!F10*$F$13*365/1000000+E36*65*0.22*365/1000000)-E46*E37*365/1000000-$F$18*(E34*65*$F$12*365/1000000+E35*Scenarios!F10*$F$13*365/1000000+E36*65*0.22*365/1000000))-E52),0)*$B$7-E56-$F$22*0.985^2*MAX(0.5,65/90)-$F$24)/(1+0.08)^2.5+(((F34*65*$F$12*365/1000000+F35*Scenarios!G10*$F$13*365/1000000+F36*65*0.22*365/1000000)-F46*F37*365/1000000-$F$18*(F34*65*$F$12*365/1000000+F35*Scenarios!G10*$F$13*365/1000000+F36*65*0.22*365/1000000))-MAX((((F34*65*$F$12*365/1000000+F35*Scenarios!G10*$F$13*365/1000000+F36*65*0.22*365/1000000)-F46*F37*365/1000000-$F$18*(F34*65*$F$12*365/1000000+F35*Scenarios!G10*$F$13*365/1000000+F36*65*0.22*365/1000000))-F52),0)*$B$7-F56-$F$22*0.985^3*MAX(0.5,65/90)-$F$24)/(1+0.08)^3.5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+0.08)^4.5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+0.08)^5.5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+0.08)^6.5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B$18)/(0.08-$B$18))/(1+0.08)^6.5+-$B$8)*1000/$B$4</f>
        <v>108.47954630427839</v>
      </c>
      <c r="E86" s="42">
        <f>((((C34*65*$F$12*365/1000000+C35*Scenarios!D10*$F$13*365/1000000+C36*65*0.22*365/1000000)-C46*C37*365/1000000-$F$18*(C34*65*$F$12*365/1000000+C35*Scenarios!D10*$F$13*365/1000000+C36*65*0.22*365/1000000))-MAX((((C34*65*$F$12*365/1000000+C35*Scenarios!D10*$F$13*365/1000000+C36*65*0.22*365/1000000)-C46*C37*365/1000000-$F$18*(C34*65*$F$12*365/1000000+C35*Scenarios!D10*$F$13*365/1000000+C36*65*0.22*365/1000000))-C52),0)*$B$7-C56-$F$22*MAX(0.5,65/90)-$F$24)/(1+0.085)^0.5+(((D34*65*$F$12*365/1000000+D35*Scenarios!E10*$F$13*365/1000000+D36*65*0.22*365/1000000)-D46*D37*365/1000000-$F$18*(D34*65*$F$12*365/1000000+D35*Scenarios!E10*$F$13*365/1000000+D36*65*0.22*365/1000000))-MAX((((D34*65*$F$12*365/1000000+D35*Scenarios!E10*$F$13*365/1000000+D36*65*0.22*365/1000000)-D46*D37*365/1000000-$F$18*(D34*65*$F$12*365/1000000+D35*Scenarios!E10*$F$13*365/1000000+D36*65*0.22*365/1000000))-D52),0)*$B$7-D56-$F$22*0.985^1*MAX(0.5,65/90)-$F$24)/(1+0.085)^1.5+(((E34*65*$F$12*365/1000000+E35*Scenarios!F10*$F$13*365/1000000+E36*65*0.22*365/1000000)-E46*E37*365/1000000-$F$18*(E34*65*$F$12*365/1000000+E35*Scenarios!F10*$F$13*365/1000000+E36*65*0.22*365/1000000))-MAX((((E34*65*$F$12*365/1000000+E35*Scenarios!F10*$F$13*365/1000000+E36*65*0.22*365/1000000)-E46*E37*365/1000000-$F$18*(E34*65*$F$12*365/1000000+E35*Scenarios!F10*$F$13*365/1000000+E36*65*0.22*365/1000000))-E52),0)*$B$7-E56-$F$22*0.985^2*MAX(0.5,65/90)-$F$24)/(1+0.085)^2.5+(((F34*65*$F$12*365/1000000+F35*Scenarios!G10*$F$13*365/1000000+F36*65*0.22*365/1000000)-F46*F37*365/1000000-$F$18*(F34*65*$F$12*365/1000000+F35*Scenarios!G10*$F$13*365/1000000+F36*65*0.22*365/1000000))-MAX((((F34*65*$F$12*365/1000000+F35*Scenarios!G10*$F$13*365/1000000+F36*65*0.22*365/1000000)-F46*F37*365/1000000-$F$18*(F34*65*$F$12*365/1000000+F35*Scenarios!G10*$F$13*365/1000000+F36*65*0.22*365/1000000))-F52),0)*$B$7-F56-$F$22*0.985^3*MAX(0.5,65/90)-$F$24)/(1+0.085)^3.5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+0.085)^4.5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+0.085)^5.5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+0.085)^6.5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B$18)/(0.085-$B$18))/(1+0.085)^6.5+-$B$8)*1000/$B$4</f>
        <v>99.55857060099477</v>
      </c>
      <c r="F86" s="42">
        <f>((((C34*65*$F$12*365/1000000+C35*Scenarios!D10*$F$13*365/1000000+C36*65*0.22*365/1000000)-C46*C37*365/1000000-$F$18*(C34*65*$F$12*365/1000000+C35*Scenarios!D10*$F$13*365/1000000+C36*65*0.22*365/1000000))-MAX((((C34*65*$F$12*365/1000000+C35*Scenarios!D10*$F$13*365/1000000+C36*65*0.22*365/1000000)-C46*C37*365/1000000-$F$18*(C34*65*$F$12*365/1000000+C35*Scenarios!D10*$F$13*365/1000000+C36*65*0.22*365/1000000))-C52),0)*$B$7-C56-$F$22*MAX(0.5,65/90)-$F$24)/(1+0.09)^0.5+(((D34*65*$F$12*365/1000000+D35*Scenarios!E10*$F$13*365/1000000+D36*65*0.22*365/1000000)-D46*D37*365/1000000-$F$18*(D34*65*$F$12*365/1000000+D35*Scenarios!E10*$F$13*365/1000000+D36*65*0.22*365/1000000))-MAX((((D34*65*$F$12*365/1000000+D35*Scenarios!E10*$F$13*365/1000000+D36*65*0.22*365/1000000)-D46*D37*365/1000000-$F$18*(D34*65*$F$12*365/1000000+D35*Scenarios!E10*$F$13*365/1000000+D36*65*0.22*365/1000000))-D52),0)*$B$7-D56-$F$22*0.985^1*MAX(0.5,65/90)-$F$24)/(1+0.09)^1.5+(((E34*65*$F$12*365/1000000+E35*Scenarios!F10*$F$13*365/1000000+E36*65*0.22*365/1000000)-E46*E37*365/1000000-$F$18*(E34*65*$F$12*365/1000000+E35*Scenarios!F10*$F$13*365/1000000+E36*65*0.22*365/1000000))-MAX((((E34*65*$F$12*365/1000000+E35*Scenarios!F10*$F$13*365/1000000+E36*65*0.22*365/1000000)-E46*E37*365/1000000-$F$18*(E34*65*$F$12*365/1000000+E35*Scenarios!F10*$F$13*365/1000000+E36*65*0.22*365/1000000))-E52),0)*$B$7-E56-$F$22*0.985^2*MAX(0.5,65/90)-$F$24)/(1+0.09)^2.5+(((F34*65*$F$12*365/1000000+F35*Scenarios!G10*$F$13*365/1000000+F36*65*0.22*365/1000000)-F46*F37*365/1000000-$F$18*(F34*65*$F$12*365/1000000+F35*Scenarios!G10*$F$13*365/1000000+F36*65*0.22*365/1000000))-MAX((((F34*65*$F$12*365/1000000+F35*Scenarios!G10*$F$13*365/1000000+F36*65*0.22*365/1000000)-F46*F37*365/1000000-$F$18*(F34*65*$F$12*365/1000000+F35*Scenarios!G10*$F$13*365/1000000+F36*65*0.22*365/1000000))-F52),0)*$B$7-F56-$F$22*0.985^3*MAX(0.5,65/90)-$F$24)/(1+0.09)^3.5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+0.09)^4.5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+0.09)^5.5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+0.09)^6.5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B$18)/(0.09-$B$18))/(1+0.09)^6.5+-$B$8)*1000/$B$4</f>
        <v>91.913562373793056</v>
      </c>
      <c r="G86" s="42">
        <f>((((C34*65*$F$12*365/1000000+C35*Scenarios!D10*$F$13*365/1000000+C36*65*0.22*365/1000000)-C46*C37*365/1000000-$F$18*(C34*65*$F$12*365/1000000+C35*Scenarios!D10*$F$13*365/1000000+C36*65*0.22*365/1000000))-MAX((((C34*65*$F$12*365/1000000+C35*Scenarios!D10*$F$13*365/1000000+C36*65*0.22*365/1000000)-C46*C37*365/1000000-$F$18*(C34*65*$F$12*365/1000000+C35*Scenarios!D10*$F$13*365/1000000+C36*65*0.22*365/1000000))-C52),0)*$B$7-C56-$F$22*MAX(0.5,65/90)-$F$24)/(1+0.095)^0.5+(((D34*65*$F$12*365/1000000+D35*Scenarios!E10*$F$13*365/1000000+D36*65*0.22*365/1000000)-D46*D37*365/1000000-$F$18*(D34*65*$F$12*365/1000000+D35*Scenarios!E10*$F$13*365/1000000+D36*65*0.22*365/1000000))-MAX((((D34*65*$F$12*365/1000000+D35*Scenarios!E10*$F$13*365/1000000+D36*65*0.22*365/1000000)-D46*D37*365/1000000-$F$18*(D34*65*$F$12*365/1000000+D35*Scenarios!E10*$F$13*365/1000000+D36*65*0.22*365/1000000))-D52),0)*$B$7-D56-$F$22*0.985^1*MAX(0.5,65/90)-$F$24)/(1+0.095)^1.5+(((E34*65*$F$12*365/1000000+E35*Scenarios!F10*$F$13*365/1000000+E36*65*0.22*365/1000000)-E46*E37*365/1000000-$F$18*(E34*65*$F$12*365/1000000+E35*Scenarios!F10*$F$13*365/1000000+E36*65*0.22*365/1000000))-MAX((((E34*65*$F$12*365/1000000+E35*Scenarios!F10*$F$13*365/1000000+E36*65*0.22*365/1000000)-E46*E37*365/1000000-$F$18*(E34*65*$F$12*365/1000000+E35*Scenarios!F10*$F$13*365/1000000+E36*65*0.22*365/1000000))-E52),0)*$B$7-E56-$F$22*0.985^2*MAX(0.5,65/90)-$F$24)/(1+0.095)^2.5+(((F34*65*$F$12*365/1000000+F35*Scenarios!G10*$F$13*365/1000000+F36*65*0.22*365/1000000)-F46*F37*365/1000000-$F$18*(F34*65*$F$12*365/1000000+F35*Scenarios!G10*$F$13*365/1000000+F36*65*0.22*365/1000000))-MAX((((F34*65*$F$12*365/1000000+F35*Scenarios!G10*$F$13*365/1000000+F36*65*0.22*365/1000000)-F46*F37*365/1000000-$F$18*(F34*65*$F$12*365/1000000+F35*Scenarios!G10*$F$13*365/1000000+F36*65*0.22*365/1000000))-F52),0)*$B$7-F56-$F$22*0.985^3*MAX(0.5,65/90)-$F$24)/(1+0.095)^3.5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+0.095)^4.5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+0.095)^5.5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+0.095)^6.5+((((G34*65*$F$12*365/1000000+G35*Scenarios!H10*$F$13*365/1000000+G36*65*0.22*365/1000000)-G46*G37*365/1000000-$F$18*(G34*65*$F$12*365/1000000+G35*Scenarios!H10*$F$13*365/1000000+G36*65*0.22*365/1000000))-MAX((((G34*65*$F$12*365/1000000+G35*Scenarios!H10*$F$13*365/1000000+G36*65*0.22*365/1000000)-G46*G37*365/1000000-$F$18*(G34*65*$F$12*365/1000000+G35*Scenarios!H10*$F$13*365/1000000+G36*65*0.22*365/1000000))-G52),0)*$B$7-G56-$F$22*0.985^4*MAX(0.5,65/90)-$F$24)*1.025*1.02*(1+$B$18)/(0.095-$B$18))/(1+0.095)^6.5+-$B$8)*1000/$B$4</f>
        <v>85.289291409299437</v>
      </c>
      <c r="H86" s="25"/>
    </row>
    <row r="87" spans="1:14" x14ac:dyDescent="0.3">
      <c r="A87" s="62" t="s">
        <v>115</v>
      </c>
      <c r="B87" s="26"/>
      <c r="C87" s="42">
        <f>((((C34*70*$F$12*365/1000000+C35*Scenarios!D10*$F$13*365/1000000+C36*70*0.22*365/1000000)-C46*C37*365/1000000-$F$18*(C34*70*$F$12*365/1000000+C35*Scenarios!D10*$F$13*365/1000000+C36*70*0.22*365/1000000))-MAX((((C34*70*$F$12*365/1000000+C35*Scenarios!D10*$F$13*365/1000000+C36*70*0.22*365/1000000)-C46*C37*365/1000000-$F$18*(C34*70*$F$12*365/1000000+C35*Scenarios!D10*$F$13*365/1000000+C36*70*0.22*365/1000000))-C52),0)*$B$7-C56-$F$22*MAX(0.5,70/90)-$F$24)/(1+0.075)^0.5+(((D34*70*$F$12*365/1000000+D35*Scenarios!E10*$F$13*365/1000000+D36*70*0.22*365/1000000)-D46*D37*365/1000000-$F$18*(D34*70*$F$12*365/1000000+D35*Scenarios!E10*$F$13*365/1000000+D36*70*0.22*365/1000000))-MAX((((D34*70*$F$12*365/1000000+D35*Scenarios!E10*$F$13*365/1000000+D36*70*0.22*365/1000000)-D46*D37*365/1000000-$F$18*(D34*70*$F$12*365/1000000+D35*Scenarios!E10*$F$13*365/1000000+D36*70*0.22*365/1000000))-D52),0)*$B$7-D56-$F$22*0.985^1*MAX(0.5,70/90)-$F$24)/(1+0.075)^1.5+(((E34*70*$F$12*365/1000000+E35*Scenarios!F10*$F$13*365/1000000+E36*70*0.22*365/1000000)-E46*E37*365/1000000-$F$18*(E34*70*$F$12*365/1000000+E35*Scenarios!F10*$F$13*365/1000000+E36*70*0.22*365/1000000))-MAX((((E34*70*$F$12*365/1000000+E35*Scenarios!F10*$F$13*365/1000000+E36*70*0.22*365/1000000)-E46*E37*365/1000000-$F$18*(E34*70*$F$12*365/1000000+E35*Scenarios!F10*$F$13*365/1000000+E36*70*0.22*365/1000000))-E52),0)*$B$7-E56-$F$22*0.985^2*MAX(0.5,70/90)-$F$24)/(1+0.075)^2.5+(((F34*70*$F$12*365/1000000+F35*Scenarios!G10*$F$13*365/1000000+F36*70*0.22*365/1000000)-F46*F37*365/1000000-$F$18*(F34*70*$F$12*365/1000000+F35*Scenarios!G10*$F$13*365/1000000+F36*70*0.22*365/1000000))-MAX((((F34*70*$F$12*365/1000000+F35*Scenarios!G10*$F$13*365/1000000+F36*70*0.22*365/1000000)-F46*F37*365/1000000-$F$18*(F34*70*$F$12*365/1000000+F35*Scenarios!G10*$F$13*365/1000000+F36*70*0.22*365/1000000))-F52),0)*$B$7-F56-$F$22*0.985^3*MAX(0.5,70/90)-$F$24)/(1+0.075)^3.5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+0.075)^4.5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+0.075)^5.5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+0.075)^6.5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B$18)/(0.075-$B$18))/(1+0.075)^6.5+-$B$8)*1000/$B$4</f>
        <v>142.02350379082461</v>
      </c>
      <c r="D87" s="42">
        <f>((((C34*70*$F$12*365/1000000+C35*Scenarios!D10*$F$13*365/1000000+C36*70*0.22*365/1000000)-C46*C37*365/1000000-$F$18*(C34*70*$F$12*365/1000000+C35*Scenarios!D10*$F$13*365/1000000+C36*70*0.22*365/1000000))-MAX((((C34*70*$F$12*365/1000000+C35*Scenarios!D10*$F$13*365/1000000+C36*70*0.22*365/1000000)-C46*C37*365/1000000-$F$18*(C34*70*$F$12*365/1000000+C35*Scenarios!D10*$F$13*365/1000000+C36*70*0.22*365/1000000))-C52),0)*$B$7-C56-$F$22*MAX(0.5,70/90)-$F$24)/(1+0.08)^0.5+(((D34*70*$F$12*365/1000000+D35*Scenarios!E10*$F$13*365/1000000+D36*70*0.22*365/1000000)-D46*D37*365/1000000-$F$18*(D34*70*$F$12*365/1000000+D35*Scenarios!E10*$F$13*365/1000000+D36*70*0.22*365/1000000))-MAX((((D34*70*$F$12*365/1000000+D35*Scenarios!E10*$F$13*365/1000000+D36*70*0.22*365/1000000)-D46*D37*365/1000000-$F$18*(D34*70*$F$12*365/1000000+D35*Scenarios!E10*$F$13*365/1000000+D36*70*0.22*365/1000000))-D52),0)*$B$7-D56-$F$22*0.985^1*MAX(0.5,70/90)-$F$24)/(1+0.08)^1.5+(((E34*70*$F$12*365/1000000+E35*Scenarios!F10*$F$13*365/1000000+E36*70*0.22*365/1000000)-E46*E37*365/1000000-$F$18*(E34*70*$F$12*365/1000000+E35*Scenarios!F10*$F$13*365/1000000+E36*70*0.22*365/1000000))-MAX((((E34*70*$F$12*365/1000000+E35*Scenarios!F10*$F$13*365/1000000+E36*70*0.22*365/1000000)-E46*E37*365/1000000-$F$18*(E34*70*$F$12*365/1000000+E35*Scenarios!F10*$F$13*365/1000000+E36*70*0.22*365/1000000))-E52),0)*$B$7-E56-$F$22*0.985^2*MAX(0.5,70/90)-$F$24)/(1+0.08)^2.5+(((F34*70*$F$12*365/1000000+F35*Scenarios!G10*$F$13*365/1000000+F36*70*0.22*365/1000000)-F46*F37*365/1000000-$F$18*(F34*70*$F$12*365/1000000+F35*Scenarios!G10*$F$13*365/1000000+F36*70*0.22*365/1000000))-MAX((((F34*70*$F$12*365/1000000+F35*Scenarios!G10*$F$13*365/1000000+F36*70*0.22*365/1000000)-F46*F37*365/1000000-$F$18*(F34*70*$F$12*365/1000000+F35*Scenarios!G10*$F$13*365/1000000+F36*70*0.22*365/1000000))-F52),0)*$B$7-F56-$F$22*0.985^3*MAX(0.5,70/90)-$F$24)/(1+0.08)^3.5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+0.08)^4.5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+0.08)^5.5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+0.08)^6.5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B$18)/(0.08-$B$18))/(1+0.08)^6.5+-$B$8)*1000/$B$4</f>
        <v>129.5945795317337</v>
      </c>
      <c r="E87" s="42">
        <f>((((C34*70*$F$12*365/1000000+C35*Scenarios!D10*$F$13*365/1000000+C36*70*0.22*365/1000000)-C46*C37*365/1000000-$F$18*(C34*70*$F$12*365/1000000+C35*Scenarios!D10*$F$13*365/1000000+C36*70*0.22*365/1000000))-MAX((((C34*70*$F$12*365/1000000+C35*Scenarios!D10*$F$13*365/1000000+C36*70*0.22*365/1000000)-C46*C37*365/1000000-$F$18*(C34*70*$F$12*365/1000000+C35*Scenarios!D10*$F$13*365/1000000+C36*70*0.22*365/1000000))-C52),0)*$B$7-C56-$F$22*MAX(0.5,70/90)-$F$24)/(1+0.085)^0.5+(((D34*70*$F$12*365/1000000+D35*Scenarios!E10*$F$13*365/1000000+D36*70*0.22*365/1000000)-D46*D37*365/1000000-$F$18*(D34*70*$F$12*365/1000000+D35*Scenarios!E10*$F$13*365/1000000+D36*70*0.22*365/1000000))-MAX((((D34*70*$F$12*365/1000000+D35*Scenarios!E10*$F$13*365/1000000+D36*70*0.22*365/1000000)-D46*D37*365/1000000-$F$18*(D34*70*$F$12*365/1000000+D35*Scenarios!E10*$F$13*365/1000000+D36*70*0.22*365/1000000))-D52),0)*$B$7-D56-$F$22*0.985^1*MAX(0.5,70/90)-$F$24)/(1+0.085)^1.5+(((E34*70*$F$12*365/1000000+E35*Scenarios!F10*$F$13*365/1000000+E36*70*0.22*365/1000000)-E46*E37*365/1000000-$F$18*(E34*70*$F$12*365/1000000+E35*Scenarios!F10*$F$13*365/1000000+E36*70*0.22*365/1000000))-MAX((((E34*70*$F$12*365/1000000+E35*Scenarios!F10*$F$13*365/1000000+E36*70*0.22*365/1000000)-E46*E37*365/1000000-$F$18*(E34*70*$F$12*365/1000000+E35*Scenarios!F10*$F$13*365/1000000+E36*70*0.22*365/1000000))-E52),0)*$B$7-E56-$F$22*0.985^2*MAX(0.5,70/90)-$F$24)/(1+0.085)^2.5+(((F34*70*$F$12*365/1000000+F35*Scenarios!G10*$F$13*365/1000000+F36*70*0.22*365/1000000)-F46*F37*365/1000000-$F$18*(F34*70*$F$12*365/1000000+F35*Scenarios!G10*$F$13*365/1000000+F36*70*0.22*365/1000000))-MAX((((F34*70*$F$12*365/1000000+F35*Scenarios!G10*$F$13*365/1000000+F36*70*0.22*365/1000000)-F46*F37*365/1000000-$F$18*(F34*70*$F$12*365/1000000+F35*Scenarios!G10*$F$13*365/1000000+F36*70*0.22*365/1000000))-F52),0)*$B$7-F56-$F$22*0.985^3*MAX(0.5,70/90)-$F$24)/(1+0.085)^3.5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+0.085)^4.5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+0.085)^5.5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+0.085)^6.5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B$18)/(0.085-$B$18))/(1+0.085)^6.5+-$B$8)*1000/$B$4</f>
        <v>119.07959336108902</v>
      </c>
      <c r="F87" s="42">
        <f>((((C34*70*$F$12*365/1000000+C35*Scenarios!D10*$F$13*365/1000000+C36*70*0.22*365/1000000)-C46*C37*365/1000000-$F$18*(C34*70*$F$12*365/1000000+C35*Scenarios!D10*$F$13*365/1000000+C36*70*0.22*365/1000000))-MAX((((C34*70*$F$12*365/1000000+C35*Scenarios!D10*$F$13*365/1000000+C36*70*0.22*365/1000000)-C46*C37*365/1000000-$F$18*(C34*70*$F$12*365/1000000+C35*Scenarios!D10*$F$13*365/1000000+C36*70*0.22*365/1000000))-C52),0)*$B$7-C56-$F$22*MAX(0.5,70/90)-$F$24)/(1+0.09)^0.5+(((D34*70*$F$12*365/1000000+D35*Scenarios!E10*$F$13*365/1000000+D36*70*0.22*365/1000000)-D46*D37*365/1000000-$F$18*(D34*70*$F$12*365/1000000+D35*Scenarios!E10*$F$13*365/1000000+D36*70*0.22*365/1000000))-MAX((((D34*70*$F$12*365/1000000+D35*Scenarios!E10*$F$13*365/1000000+D36*70*0.22*365/1000000)-D46*D37*365/1000000-$F$18*(D34*70*$F$12*365/1000000+D35*Scenarios!E10*$F$13*365/1000000+D36*70*0.22*365/1000000))-D52),0)*$B$7-D56-$F$22*0.985^1*MAX(0.5,70/90)-$F$24)/(1+0.09)^1.5+(((E34*70*$F$12*365/1000000+E35*Scenarios!F10*$F$13*365/1000000+E36*70*0.22*365/1000000)-E46*E37*365/1000000-$F$18*(E34*70*$F$12*365/1000000+E35*Scenarios!F10*$F$13*365/1000000+E36*70*0.22*365/1000000))-MAX((((E34*70*$F$12*365/1000000+E35*Scenarios!F10*$F$13*365/1000000+E36*70*0.22*365/1000000)-E46*E37*365/1000000-$F$18*(E34*70*$F$12*365/1000000+E35*Scenarios!F10*$F$13*365/1000000+E36*70*0.22*365/1000000))-E52),0)*$B$7-E56-$F$22*0.985^2*MAX(0.5,70/90)-$F$24)/(1+0.09)^2.5+(((F34*70*$F$12*365/1000000+F35*Scenarios!G10*$F$13*365/1000000+F36*70*0.22*365/1000000)-F46*F37*365/1000000-$F$18*(F34*70*$F$12*365/1000000+F35*Scenarios!G10*$F$13*365/1000000+F36*70*0.22*365/1000000))-MAX((((F34*70*$F$12*365/1000000+F35*Scenarios!G10*$F$13*365/1000000+F36*70*0.22*365/1000000)-F46*F37*365/1000000-$F$18*(F34*70*$F$12*365/1000000+F35*Scenarios!G10*$F$13*365/1000000+F36*70*0.22*365/1000000))-F52),0)*$B$7-F56-$F$22*0.985^3*MAX(0.5,70/90)-$F$24)/(1+0.09)^3.5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+0.09)^4.5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+0.09)^5.5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+0.09)^6.5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B$18)/(0.09-$B$18))/(1+0.09)^6.5+-$B$8)*1000/$B$4</f>
        <v>110.06837196718341</v>
      </c>
      <c r="G87" s="42">
        <f>((((C34*70*$F$12*365/1000000+C35*Scenarios!D10*$F$13*365/1000000+C36*70*0.22*365/1000000)-C46*C37*365/1000000-$F$18*(C34*70*$F$12*365/1000000+C35*Scenarios!D10*$F$13*365/1000000+C36*70*0.22*365/1000000))-MAX((((C34*70*$F$12*365/1000000+C35*Scenarios!D10*$F$13*365/1000000+C36*70*0.22*365/1000000)-C46*C37*365/1000000-$F$18*(C34*70*$F$12*365/1000000+C35*Scenarios!D10*$F$13*365/1000000+C36*70*0.22*365/1000000))-C52),0)*$B$7-C56-$F$22*MAX(0.5,70/90)-$F$24)/(1+0.095)^0.5+(((D34*70*$F$12*365/1000000+D35*Scenarios!E10*$F$13*365/1000000+D36*70*0.22*365/1000000)-D46*D37*365/1000000-$F$18*(D34*70*$F$12*365/1000000+D35*Scenarios!E10*$F$13*365/1000000+D36*70*0.22*365/1000000))-MAX((((D34*70*$F$12*365/1000000+D35*Scenarios!E10*$F$13*365/1000000+D36*70*0.22*365/1000000)-D46*D37*365/1000000-$F$18*(D34*70*$F$12*365/1000000+D35*Scenarios!E10*$F$13*365/1000000+D36*70*0.22*365/1000000))-D52),0)*$B$7-D56-$F$22*0.985^1*MAX(0.5,70/90)-$F$24)/(1+0.095)^1.5+(((E34*70*$F$12*365/1000000+E35*Scenarios!F10*$F$13*365/1000000+E36*70*0.22*365/1000000)-E46*E37*365/1000000-$F$18*(E34*70*$F$12*365/1000000+E35*Scenarios!F10*$F$13*365/1000000+E36*70*0.22*365/1000000))-MAX((((E34*70*$F$12*365/1000000+E35*Scenarios!F10*$F$13*365/1000000+E36*70*0.22*365/1000000)-E46*E37*365/1000000-$F$18*(E34*70*$F$12*365/1000000+E35*Scenarios!F10*$F$13*365/1000000+E36*70*0.22*365/1000000))-E52),0)*$B$7-E56-$F$22*0.985^2*MAX(0.5,70/90)-$F$24)/(1+0.095)^2.5+(((F34*70*$F$12*365/1000000+F35*Scenarios!G10*$F$13*365/1000000+F36*70*0.22*365/1000000)-F46*F37*365/1000000-$F$18*(F34*70*$F$12*365/1000000+F35*Scenarios!G10*$F$13*365/1000000+F36*70*0.22*365/1000000))-MAX((((F34*70*$F$12*365/1000000+F35*Scenarios!G10*$F$13*365/1000000+F36*70*0.22*365/1000000)-F46*F37*365/1000000-$F$18*(F34*70*$F$12*365/1000000+F35*Scenarios!G10*$F$13*365/1000000+F36*70*0.22*365/1000000))-F52),0)*$B$7-F56-$F$22*0.985^3*MAX(0.5,70/90)-$F$24)/(1+0.095)^3.5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+0.095)^4.5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+0.095)^5.5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+0.095)^6.5+((((G34*70*$F$12*365/1000000+G35*Scenarios!H10*$F$13*365/1000000+G36*70*0.22*365/1000000)-G46*G37*365/1000000-$F$18*(G34*70*$F$12*365/1000000+G35*Scenarios!H10*$F$13*365/1000000+G36*70*0.22*365/1000000))-MAX((((G34*70*$F$12*365/1000000+G35*Scenarios!H10*$F$13*365/1000000+G36*70*0.22*365/1000000)-G46*G37*365/1000000-$F$18*(G34*70*$F$12*365/1000000+G35*Scenarios!H10*$F$13*365/1000000+G36*70*0.22*365/1000000))-G52),0)*$B$7-G56-$F$22*0.985^4*MAX(0.5,70/90)-$F$24)*1.025*1.02*(1+$B$18)/(0.095-$B$18))/(1+0.095)^6.5+-$B$8)*1000/$B$4</f>
        <v>102.26012273883963</v>
      </c>
      <c r="H87" s="25"/>
    </row>
    <row r="88" spans="1:14" x14ac:dyDescent="0.3">
      <c r="A88" s="62" t="s">
        <v>1</v>
      </c>
      <c r="B88" s="26"/>
      <c r="C88" s="42">
        <f>((((C34*75*$F$12*365/1000000+C35*Scenarios!D10*$F$13*365/1000000+C36*75*0.22*365/1000000)-C46*C37*365/1000000-$F$18*(C34*75*$F$12*365/1000000+C35*Scenarios!D10*$F$13*365/1000000+C36*75*0.22*365/1000000))-MAX((((C34*75*$F$12*365/1000000+C35*Scenarios!D10*$F$13*365/1000000+C36*75*0.22*365/1000000)-C46*C37*365/1000000-$F$18*(C34*75*$F$12*365/1000000+C35*Scenarios!D10*$F$13*365/1000000+C36*75*0.22*365/1000000))-C52),0)*$B$7-C56-$F$22*MAX(0.5,75/90)-$F$24)/(1+0.075)^0.5+(((D34*75*$F$12*365/1000000+D35*Scenarios!E10*$F$13*365/1000000+D36*75*0.22*365/1000000)-D46*D37*365/1000000-$F$18*(D34*75*$F$12*365/1000000+D35*Scenarios!E10*$F$13*365/1000000+D36*75*0.22*365/1000000))-MAX((((D34*75*$F$12*365/1000000+D35*Scenarios!E10*$F$13*365/1000000+D36*75*0.22*365/1000000)-D46*D37*365/1000000-$F$18*(D34*75*$F$12*365/1000000+D35*Scenarios!E10*$F$13*365/1000000+D36*75*0.22*365/1000000))-D52),0)*$B$7-D56-$F$22*0.985^1*MAX(0.5,75/90)-$F$24)/(1+0.075)^1.5+(((E34*75*$F$12*365/1000000+E35*Scenarios!F10*$F$13*365/1000000+E36*75*0.22*365/1000000)-E46*E37*365/1000000-$F$18*(E34*75*$F$12*365/1000000+E35*Scenarios!F10*$F$13*365/1000000+E36*75*0.22*365/1000000))-MAX((((E34*75*$F$12*365/1000000+E35*Scenarios!F10*$F$13*365/1000000+E36*75*0.22*365/1000000)-E46*E37*365/1000000-$F$18*(E34*75*$F$12*365/1000000+E35*Scenarios!F10*$F$13*365/1000000+E36*75*0.22*365/1000000))-E52),0)*$B$7-E56-$F$22*0.985^2*MAX(0.5,75/90)-$F$24)/(1+0.075)^2.5+(((F34*75*$F$12*365/1000000+F35*Scenarios!G10*$F$13*365/1000000+F36*75*0.22*365/1000000)-F46*F37*365/1000000-$F$18*(F34*75*$F$12*365/1000000+F35*Scenarios!G10*$F$13*365/1000000+F36*75*0.22*365/1000000))-MAX((((F34*75*$F$12*365/1000000+F35*Scenarios!G10*$F$13*365/1000000+F36*75*0.22*365/1000000)-F46*F37*365/1000000-$F$18*(F34*75*$F$12*365/1000000+F35*Scenarios!G10*$F$13*365/1000000+F36*75*0.22*365/1000000))-F52),0)*$B$7-F56-$F$22*0.985^3*MAX(0.5,75/90)-$F$24)/(1+0.075)^3.5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+0.075)^4.5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+0.075)^5.5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+0.075)^6.5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B$18)/(0.075-$B$18))/(1+0.075)^6.5+-$B$8)*1000/$B$4</f>
        <v>165.02247545610044</v>
      </c>
      <c r="D88" s="42">
        <f>((((C34*75*$F$12*365/1000000+C35*Scenarios!D10*$F$13*365/1000000+C36*75*0.22*365/1000000)-C46*C37*365/1000000-$F$18*(C34*75*$F$12*365/1000000+C35*Scenarios!D10*$F$13*365/1000000+C36*75*0.22*365/1000000))-MAX((((C34*75*$F$12*365/1000000+C35*Scenarios!D10*$F$13*365/1000000+C36*75*0.22*365/1000000)-C46*C37*365/1000000-$F$18*(C34*75*$F$12*365/1000000+C35*Scenarios!D10*$F$13*365/1000000+C36*75*0.22*365/1000000))-C52),0)*$B$7-C56-$F$22*MAX(0.5,75/90)-$F$24)/(1+0.08)^0.5+(((D34*75*$F$12*365/1000000+D35*Scenarios!E10*$F$13*365/1000000+D36*75*0.22*365/1000000)-D46*D37*365/1000000-$F$18*(D34*75*$F$12*365/1000000+D35*Scenarios!E10*$F$13*365/1000000+D36*75*0.22*365/1000000))-MAX((((D34*75*$F$12*365/1000000+D35*Scenarios!E10*$F$13*365/1000000+D36*75*0.22*365/1000000)-D46*D37*365/1000000-$F$18*(D34*75*$F$12*365/1000000+D35*Scenarios!E10*$F$13*365/1000000+D36*75*0.22*365/1000000))-D52),0)*$B$7-D56-$F$22*0.985^1*MAX(0.5,75/90)-$F$24)/(1+0.08)^1.5+(((E34*75*$F$12*365/1000000+E35*Scenarios!F10*$F$13*365/1000000+E36*75*0.22*365/1000000)-E46*E37*365/1000000-$F$18*(E34*75*$F$12*365/1000000+E35*Scenarios!F10*$F$13*365/1000000+E36*75*0.22*365/1000000))-MAX((((E34*75*$F$12*365/1000000+E35*Scenarios!F10*$F$13*365/1000000+E36*75*0.22*365/1000000)-E46*E37*365/1000000-$F$18*(E34*75*$F$12*365/1000000+E35*Scenarios!F10*$F$13*365/1000000+E36*75*0.22*365/1000000))-E52),0)*$B$7-E56-$F$22*0.985^2*MAX(0.5,75/90)-$F$24)/(1+0.08)^2.5+(((F34*75*$F$12*365/1000000+F35*Scenarios!G10*$F$13*365/1000000+F36*75*0.22*365/1000000)-F46*F37*365/1000000-$F$18*(F34*75*$F$12*365/1000000+F35*Scenarios!G10*$F$13*365/1000000+F36*75*0.22*365/1000000))-MAX((((F34*75*$F$12*365/1000000+F35*Scenarios!G10*$F$13*365/1000000+F36*75*0.22*365/1000000)-F46*F37*365/1000000-$F$18*(F34*75*$F$12*365/1000000+F35*Scenarios!G10*$F$13*365/1000000+F36*75*0.22*365/1000000))-F52),0)*$B$7-F56-$F$22*0.985^3*MAX(0.5,75/90)-$F$24)/(1+0.08)^3.5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+0.08)^4.5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+0.08)^5.5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+0.08)^6.5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B$18)/(0.08-$B$18))/(1+0.08)^6.5+-$B$8)*1000/$B$4</f>
        <v>150.70961275918904</v>
      </c>
      <c r="E88" s="42">
        <f>((((C34*75*$F$12*365/1000000+C35*Scenarios!D10*$F$13*365/1000000+C36*75*0.22*365/1000000)-C46*C37*365/1000000-$F$18*(C34*75*$F$12*365/1000000+C35*Scenarios!D10*$F$13*365/1000000+C36*75*0.22*365/1000000))-MAX((((C34*75*$F$12*365/1000000+C35*Scenarios!D10*$F$13*365/1000000+C36*75*0.22*365/1000000)-C46*C37*365/1000000-$F$18*(C34*75*$F$12*365/1000000+C35*Scenarios!D10*$F$13*365/1000000+C36*75*0.22*365/1000000))-C52),0)*$B$7-C56-$F$22*MAX(0.5,75/90)-$F$24)/(1+0.085)^0.5+(((D34*75*$F$12*365/1000000+D35*Scenarios!E10*$F$13*365/1000000+D36*75*0.22*365/1000000)-D46*D37*365/1000000-$F$18*(D34*75*$F$12*365/1000000+D35*Scenarios!E10*$F$13*365/1000000+D36*75*0.22*365/1000000))-MAX((((D34*75*$F$12*365/1000000+D35*Scenarios!E10*$F$13*365/1000000+D36*75*0.22*365/1000000)-D46*D37*365/1000000-$F$18*(D34*75*$F$12*365/1000000+D35*Scenarios!E10*$F$13*365/1000000+D36*75*0.22*365/1000000))-D52),0)*$B$7-D56-$F$22*0.985^1*MAX(0.5,75/90)-$F$24)/(1+0.085)^1.5+(((E34*75*$F$12*365/1000000+E35*Scenarios!F10*$F$13*365/1000000+E36*75*0.22*365/1000000)-E46*E37*365/1000000-$F$18*(E34*75*$F$12*365/1000000+E35*Scenarios!F10*$F$13*365/1000000+E36*75*0.22*365/1000000))-MAX((((E34*75*$F$12*365/1000000+E35*Scenarios!F10*$F$13*365/1000000+E36*75*0.22*365/1000000)-E46*E37*365/1000000-$F$18*(E34*75*$F$12*365/1000000+E35*Scenarios!F10*$F$13*365/1000000+E36*75*0.22*365/1000000))-E52),0)*$B$7-E56-$F$22*0.985^2*MAX(0.5,75/90)-$F$24)/(1+0.085)^2.5+(((F34*75*$F$12*365/1000000+F35*Scenarios!G10*$F$13*365/1000000+F36*75*0.22*365/1000000)-F46*F37*365/1000000-$F$18*(F34*75*$F$12*365/1000000+F35*Scenarios!G10*$F$13*365/1000000+F36*75*0.22*365/1000000))-MAX((((F34*75*$F$12*365/1000000+F35*Scenarios!G10*$F$13*365/1000000+F36*75*0.22*365/1000000)-F46*F37*365/1000000-$F$18*(F34*75*$F$12*365/1000000+F35*Scenarios!G10*$F$13*365/1000000+F36*75*0.22*365/1000000))-F52),0)*$B$7-F56-$F$22*0.985^3*MAX(0.5,75/90)-$F$24)/(1+0.085)^3.5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+0.085)^4.5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+0.085)^5.5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+0.085)^6.5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B$18)/(0.085-$B$18))/(1+0.085)^6.5+-$B$8)*1000/$B$4</f>
        <v>138.60061612118326</v>
      </c>
      <c r="F88" s="42">
        <f>((((C34*75*$F$12*365/1000000+C35*Scenarios!D10*$F$13*365/1000000+C36*75*0.22*365/1000000)-C46*C37*365/1000000-$F$18*(C34*75*$F$12*365/1000000+C35*Scenarios!D10*$F$13*365/1000000+C36*75*0.22*365/1000000))-MAX((((C34*75*$F$12*365/1000000+C35*Scenarios!D10*$F$13*365/1000000+C36*75*0.22*365/1000000)-C46*C37*365/1000000-$F$18*(C34*75*$F$12*365/1000000+C35*Scenarios!D10*$F$13*365/1000000+C36*75*0.22*365/1000000))-C52),0)*$B$7-C56-$F$22*MAX(0.5,75/90)-$F$24)/(1+0.09)^0.5+(((D34*75*$F$12*365/1000000+D35*Scenarios!E10*$F$13*365/1000000+D36*75*0.22*365/1000000)-D46*D37*365/1000000-$F$18*(D34*75*$F$12*365/1000000+D35*Scenarios!E10*$F$13*365/1000000+D36*75*0.22*365/1000000))-MAX((((D34*75*$F$12*365/1000000+D35*Scenarios!E10*$F$13*365/1000000+D36*75*0.22*365/1000000)-D46*D37*365/1000000-$F$18*(D34*75*$F$12*365/1000000+D35*Scenarios!E10*$F$13*365/1000000+D36*75*0.22*365/1000000))-D52),0)*$B$7-D56-$F$22*0.985^1*MAX(0.5,75/90)-$F$24)/(1+0.09)^1.5+(((E34*75*$F$12*365/1000000+E35*Scenarios!F10*$F$13*365/1000000+E36*75*0.22*365/1000000)-E46*E37*365/1000000-$F$18*(E34*75*$F$12*365/1000000+E35*Scenarios!F10*$F$13*365/1000000+E36*75*0.22*365/1000000))-MAX((((E34*75*$F$12*365/1000000+E35*Scenarios!F10*$F$13*365/1000000+E36*75*0.22*365/1000000)-E46*E37*365/1000000-$F$18*(E34*75*$F$12*365/1000000+E35*Scenarios!F10*$F$13*365/1000000+E36*75*0.22*365/1000000))-E52),0)*$B$7-E56-$F$22*0.985^2*MAX(0.5,75/90)-$F$24)/(1+0.09)^2.5+(((F34*75*$F$12*365/1000000+F35*Scenarios!G10*$F$13*365/1000000+F36*75*0.22*365/1000000)-F46*F37*365/1000000-$F$18*(F34*75*$F$12*365/1000000+F35*Scenarios!G10*$F$13*365/1000000+F36*75*0.22*365/1000000))-MAX((((F34*75*$F$12*365/1000000+F35*Scenarios!G10*$F$13*365/1000000+F36*75*0.22*365/1000000)-F46*F37*365/1000000-$F$18*(F34*75*$F$12*365/1000000+F35*Scenarios!G10*$F$13*365/1000000+F36*75*0.22*365/1000000))-F52),0)*$B$7-F56-$F$22*0.985^3*MAX(0.5,75/90)-$F$24)/(1+0.09)^3.5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+0.09)^4.5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+0.09)^5.5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+0.09)^6.5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B$18)/(0.09-$B$18))/(1+0.09)^6.5+-$B$8)*1000/$B$4</f>
        <v>128.22318156057372</v>
      </c>
      <c r="G88" s="42">
        <f>((((C34*75*$F$12*365/1000000+C35*Scenarios!D10*$F$13*365/1000000+C36*75*0.22*365/1000000)-C46*C37*365/1000000-$F$18*(C34*75*$F$12*365/1000000+C35*Scenarios!D10*$F$13*365/1000000+C36*75*0.22*365/1000000))-MAX((((C34*75*$F$12*365/1000000+C35*Scenarios!D10*$F$13*365/1000000+C36*75*0.22*365/1000000)-C46*C37*365/1000000-$F$18*(C34*75*$F$12*365/1000000+C35*Scenarios!D10*$F$13*365/1000000+C36*75*0.22*365/1000000))-C52),0)*$B$7-C56-$F$22*MAX(0.5,75/90)-$F$24)/(1+0.095)^0.5+(((D34*75*$F$12*365/1000000+D35*Scenarios!E10*$F$13*365/1000000+D36*75*0.22*365/1000000)-D46*D37*365/1000000-$F$18*(D34*75*$F$12*365/1000000+D35*Scenarios!E10*$F$13*365/1000000+D36*75*0.22*365/1000000))-MAX((((D34*75*$F$12*365/1000000+D35*Scenarios!E10*$F$13*365/1000000+D36*75*0.22*365/1000000)-D46*D37*365/1000000-$F$18*(D34*75*$F$12*365/1000000+D35*Scenarios!E10*$F$13*365/1000000+D36*75*0.22*365/1000000))-D52),0)*$B$7-D56-$F$22*0.985^1*MAX(0.5,75/90)-$F$24)/(1+0.095)^1.5+(((E34*75*$F$12*365/1000000+E35*Scenarios!F10*$F$13*365/1000000+E36*75*0.22*365/1000000)-E46*E37*365/1000000-$F$18*(E34*75*$F$12*365/1000000+E35*Scenarios!F10*$F$13*365/1000000+E36*75*0.22*365/1000000))-MAX((((E34*75*$F$12*365/1000000+E35*Scenarios!F10*$F$13*365/1000000+E36*75*0.22*365/1000000)-E46*E37*365/1000000-$F$18*(E34*75*$F$12*365/1000000+E35*Scenarios!F10*$F$13*365/1000000+E36*75*0.22*365/1000000))-E52),0)*$B$7-E56-$F$22*0.985^2*MAX(0.5,75/90)-$F$24)/(1+0.095)^2.5+(((F34*75*$F$12*365/1000000+F35*Scenarios!G10*$F$13*365/1000000+F36*75*0.22*365/1000000)-F46*F37*365/1000000-$F$18*(F34*75*$F$12*365/1000000+F35*Scenarios!G10*$F$13*365/1000000+F36*75*0.22*365/1000000))-MAX((((F34*75*$F$12*365/1000000+F35*Scenarios!G10*$F$13*365/1000000+F36*75*0.22*365/1000000)-F46*F37*365/1000000-$F$18*(F34*75*$F$12*365/1000000+F35*Scenarios!G10*$F$13*365/1000000+F36*75*0.22*365/1000000))-F52),0)*$B$7-F56-$F$22*0.985^3*MAX(0.5,75/90)-$F$24)/(1+0.095)^3.5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+0.095)^4.5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+0.095)^5.5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+0.095)^6.5+((((G34*75*$F$12*365/1000000+G35*Scenarios!H10*$F$13*365/1000000+G36*75*0.22*365/1000000)-G46*G37*365/1000000-$F$18*(G34*75*$F$12*365/1000000+G35*Scenarios!H10*$F$13*365/1000000+G36*75*0.22*365/1000000))-MAX((((G34*75*$F$12*365/1000000+G35*Scenarios!H10*$F$13*365/1000000+G36*75*0.22*365/1000000)-G46*G37*365/1000000-$F$18*(G34*75*$F$12*365/1000000+G35*Scenarios!H10*$F$13*365/1000000+G36*75*0.22*365/1000000))-G52),0)*$B$7-G56-$F$22*0.985^4*MAX(0.5,75/90)-$F$24)*1.025*1.02*(1+$B$18)/(0.095-$B$18))/(1+0.095)^6.5+-$B$8)*1000/$B$4</f>
        <v>119.23095406837982</v>
      </c>
      <c r="H88" s="25"/>
    </row>
    <row r="89" spans="1:14" x14ac:dyDescent="0.3">
      <c r="A89" s="62" t="s">
        <v>15</v>
      </c>
      <c r="B89" s="26"/>
      <c r="C89" s="42">
        <f>((((C34*80*$F$12*365/1000000+C35*Scenarios!D10*$F$13*365/1000000+C36*80*0.22*365/1000000)-C46*C37*365/1000000-$F$18*(C34*80*$F$12*365/1000000+C35*Scenarios!D10*$F$13*365/1000000+C36*80*0.22*365/1000000))-MAX((((C34*80*$F$12*365/1000000+C35*Scenarios!D10*$F$13*365/1000000+C36*80*0.22*365/1000000)-C46*C37*365/1000000-$F$18*(C34*80*$F$12*365/1000000+C35*Scenarios!D10*$F$13*365/1000000+C36*80*0.22*365/1000000))-C52),0)*$B$7-C56-$F$22*MAX(0.5,80/90)-$F$24)/(1+0.075)^0.5+(((D34*80*$F$12*365/1000000+D35*Scenarios!E10*$F$13*365/1000000+D36*80*0.22*365/1000000)-D46*D37*365/1000000-$F$18*(D34*80*$F$12*365/1000000+D35*Scenarios!E10*$F$13*365/1000000+D36*80*0.22*365/1000000))-MAX((((D34*80*$F$12*365/1000000+D35*Scenarios!E10*$F$13*365/1000000+D36*80*0.22*365/1000000)-D46*D37*365/1000000-$F$18*(D34*80*$F$12*365/1000000+D35*Scenarios!E10*$F$13*365/1000000+D36*80*0.22*365/1000000))-D52),0)*$B$7-D56-$F$22*0.985^1*MAX(0.5,80/90)-$F$24)/(1+0.075)^1.5+(((E34*80*$F$12*365/1000000+E35*Scenarios!F10*$F$13*365/1000000+E36*80*0.22*365/1000000)-E46*E37*365/1000000-$F$18*(E34*80*$F$12*365/1000000+E35*Scenarios!F10*$F$13*365/1000000+E36*80*0.22*365/1000000))-MAX((((E34*80*$F$12*365/1000000+E35*Scenarios!F10*$F$13*365/1000000+E36*80*0.22*365/1000000)-E46*E37*365/1000000-$F$18*(E34*80*$F$12*365/1000000+E35*Scenarios!F10*$F$13*365/1000000+E36*80*0.22*365/1000000))-E52),0)*$B$7-E56-$F$22*0.985^2*MAX(0.5,80/90)-$F$24)/(1+0.075)^2.5+(((F34*80*$F$12*365/1000000+F35*Scenarios!G10*$F$13*365/1000000+F36*80*0.22*365/1000000)-F46*F37*365/1000000-$F$18*(F34*80*$F$12*365/1000000+F35*Scenarios!G10*$F$13*365/1000000+F36*80*0.22*365/1000000))-MAX((((F34*80*$F$12*365/1000000+F35*Scenarios!G10*$F$13*365/1000000+F36*80*0.22*365/1000000)-F46*F37*365/1000000-$F$18*(F34*80*$F$12*365/1000000+F35*Scenarios!G10*$F$13*365/1000000+F36*80*0.22*365/1000000))-F52),0)*$B$7-F56-$F$22*0.985^3*MAX(0.5,80/90)-$F$24)/(1+0.075)^3.5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+0.075)^4.5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+0.075)^5.5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+0.075)^6.5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B$18)/(0.075-$B$18))/(1+0.075)^6.5+-$B$8)*1000/$B$4</f>
        <v>188.02144712137635</v>
      </c>
      <c r="D89" s="42">
        <f>((((C34*80*$F$12*365/1000000+C35*Scenarios!D10*$F$13*365/1000000+C36*80*0.22*365/1000000)-C46*C37*365/1000000-$F$18*(C34*80*$F$12*365/1000000+C35*Scenarios!D10*$F$13*365/1000000+C36*80*0.22*365/1000000))-MAX((((C34*80*$F$12*365/1000000+C35*Scenarios!D10*$F$13*365/1000000+C36*80*0.22*365/1000000)-C46*C37*365/1000000-$F$18*(C34*80*$F$12*365/1000000+C35*Scenarios!D10*$F$13*365/1000000+C36*80*0.22*365/1000000))-C52),0)*$B$7-C56-$F$22*MAX(0.5,80/90)-$F$24)/(1+0.08)^0.5+(((D34*80*$F$12*365/1000000+D35*Scenarios!E10*$F$13*365/1000000+D36*80*0.22*365/1000000)-D46*D37*365/1000000-$F$18*(D34*80*$F$12*365/1000000+D35*Scenarios!E10*$F$13*365/1000000+D36*80*0.22*365/1000000))-MAX((((D34*80*$F$12*365/1000000+D35*Scenarios!E10*$F$13*365/1000000+D36*80*0.22*365/1000000)-D46*D37*365/1000000-$F$18*(D34*80*$F$12*365/1000000+D35*Scenarios!E10*$F$13*365/1000000+D36*80*0.22*365/1000000))-D52),0)*$B$7-D56-$F$22*0.985^1*MAX(0.5,80/90)-$F$24)/(1+0.08)^1.5+(((E34*80*$F$12*365/1000000+E35*Scenarios!F10*$F$13*365/1000000+E36*80*0.22*365/1000000)-E46*E37*365/1000000-$F$18*(E34*80*$F$12*365/1000000+E35*Scenarios!F10*$F$13*365/1000000+E36*80*0.22*365/1000000))-MAX((((E34*80*$F$12*365/1000000+E35*Scenarios!F10*$F$13*365/1000000+E36*80*0.22*365/1000000)-E46*E37*365/1000000-$F$18*(E34*80*$F$12*365/1000000+E35*Scenarios!F10*$F$13*365/1000000+E36*80*0.22*365/1000000))-E52),0)*$B$7-E56-$F$22*0.985^2*MAX(0.5,80/90)-$F$24)/(1+0.08)^2.5+(((F34*80*$F$12*365/1000000+F35*Scenarios!G10*$F$13*365/1000000+F36*80*0.22*365/1000000)-F46*F37*365/1000000-$F$18*(F34*80*$F$12*365/1000000+F35*Scenarios!G10*$F$13*365/1000000+F36*80*0.22*365/1000000))-MAX((((F34*80*$F$12*365/1000000+F35*Scenarios!G10*$F$13*365/1000000+F36*80*0.22*365/1000000)-F46*F37*365/1000000-$F$18*(F34*80*$F$12*365/1000000+F35*Scenarios!G10*$F$13*365/1000000+F36*80*0.22*365/1000000))-F52),0)*$B$7-F56-$F$22*0.985^3*MAX(0.5,80/90)-$F$24)/(1+0.08)^3.5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+0.08)^4.5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+0.08)^5.5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+0.08)^6.5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B$18)/(0.08-$B$18))/(1+0.08)^6.5+-$B$8)*1000/$B$4</f>
        <v>171.82464598664438</v>
      </c>
      <c r="E89" s="42">
        <f>((((C34*80*$F$12*365/1000000+C35*Scenarios!D10*$F$13*365/1000000+C36*80*0.22*365/1000000)-C46*C37*365/1000000-$F$18*(C34*80*$F$12*365/1000000+C35*Scenarios!D10*$F$13*365/1000000+C36*80*0.22*365/1000000))-MAX((((C34*80*$F$12*365/1000000+C35*Scenarios!D10*$F$13*365/1000000+C36*80*0.22*365/1000000)-C46*C37*365/1000000-$F$18*(C34*80*$F$12*365/1000000+C35*Scenarios!D10*$F$13*365/1000000+C36*80*0.22*365/1000000))-C52),0)*$B$7-C56-$F$22*MAX(0.5,80/90)-$F$24)/(1+0.085)^0.5+(((D34*80*$F$12*365/1000000+D35*Scenarios!E10*$F$13*365/1000000+D36*80*0.22*365/1000000)-D46*D37*365/1000000-$F$18*(D34*80*$F$12*365/1000000+D35*Scenarios!E10*$F$13*365/1000000+D36*80*0.22*365/1000000))-MAX((((D34*80*$F$12*365/1000000+D35*Scenarios!E10*$F$13*365/1000000+D36*80*0.22*365/1000000)-D46*D37*365/1000000-$F$18*(D34*80*$F$12*365/1000000+D35*Scenarios!E10*$F$13*365/1000000+D36*80*0.22*365/1000000))-D52),0)*$B$7-D56-$F$22*0.985^1*MAX(0.5,80/90)-$F$24)/(1+0.085)^1.5+(((E34*80*$F$12*365/1000000+E35*Scenarios!F10*$F$13*365/1000000+E36*80*0.22*365/1000000)-E46*E37*365/1000000-$F$18*(E34*80*$F$12*365/1000000+E35*Scenarios!F10*$F$13*365/1000000+E36*80*0.22*365/1000000))-MAX((((E34*80*$F$12*365/1000000+E35*Scenarios!F10*$F$13*365/1000000+E36*80*0.22*365/1000000)-E46*E37*365/1000000-$F$18*(E34*80*$F$12*365/1000000+E35*Scenarios!F10*$F$13*365/1000000+E36*80*0.22*365/1000000))-E52),0)*$B$7-E56-$F$22*0.985^2*MAX(0.5,80/90)-$F$24)/(1+0.085)^2.5+(((F34*80*$F$12*365/1000000+F35*Scenarios!G10*$F$13*365/1000000+F36*80*0.22*365/1000000)-F46*F37*365/1000000-$F$18*(F34*80*$F$12*365/1000000+F35*Scenarios!G10*$F$13*365/1000000+F36*80*0.22*365/1000000))-MAX((((F34*80*$F$12*365/1000000+F35*Scenarios!G10*$F$13*365/1000000+F36*80*0.22*365/1000000)-F46*F37*365/1000000-$F$18*(F34*80*$F$12*365/1000000+F35*Scenarios!G10*$F$13*365/1000000+F36*80*0.22*365/1000000))-F52),0)*$B$7-F56-$F$22*0.985^3*MAX(0.5,80/90)-$F$24)/(1+0.085)^3.5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+0.085)^4.5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+0.085)^5.5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+0.085)^6.5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B$18)/(0.085-$B$18))/(1+0.085)^6.5+-$B$8)*1000/$B$4</f>
        <v>158.12163888127753</v>
      </c>
      <c r="F89" s="42">
        <f>((((C34*80*$F$12*365/1000000+C35*Scenarios!D10*$F$13*365/1000000+C36*80*0.22*365/1000000)-C46*C37*365/1000000-$F$18*(C34*80*$F$12*365/1000000+C35*Scenarios!D10*$F$13*365/1000000+C36*80*0.22*365/1000000))-MAX((((C34*80*$F$12*365/1000000+C35*Scenarios!D10*$F$13*365/1000000+C36*80*0.22*365/1000000)-C46*C37*365/1000000-$F$18*(C34*80*$F$12*365/1000000+C35*Scenarios!D10*$F$13*365/1000000+C36*80*0.22*365/1000000))-C52),0)*$B$7-C56-$F$22*MAX(0.5,80/90)-$F$24)/(1+0.09)^0.5+(((D34*80*$F$12*365/1000000+D35*Scenarios!E10*$F$13*365/1000000+D36*80*0.22*365/1000000)-D46*D37*365/1000000-$F$18*(D34*80*$F$12*365/1000000+D35*Scenarios!E10*$F$13*365/1000000+D36*80*0.22*365/1000000))-MAX((((D34*80*$F$12*365/1000000+D35*Scenarios!E10*$F$13*365/1000000+D36*80*0.22*365/1000000)-D46*D37*365/1000000-$F$18*(D34*80*$F$12*365/1000000+D35*Scenarios!E10*$F$13*365/1000000+D36*80*0.22*365/1000000))-D52),0)*$B$7-D56-$F$22*0.985^1*MAX(0.5,80/90)-$F$24)/(1+0.09)^1.5+(((E34*80*$F$12*365/1000000+E35*Scenarios!F10*$F$13*365/1000000+E36*80*0.22*365/1000000)-E46*E37*365/1000000-$F$18*(E34*80*$F$12*365/1000000+E35*Scenarios!F10*$F$13*365/1000000+E36*80*0.22*365/1000000))-MAX((((E34*80*$F$12*365/1000000+E35*Scenarios!F10*$F$13*365/1000000+E36*80*0.22*365/1000000)-E46*E37*365/1000000-$F$18*(E34*80*$F$12*365/1000000+E35*Scenarios!F10*$F$13*365/1000000+E36*80*0.22*365/1000000))-E52),0)*$B$7-E56-$F$22*0.985^2*MAX(0.5,80/90)-$F$24)/(1+0.09)^2.5+(((F34*80*$F$12*365/1000000+F35*Scenarios!G10*$F$13*365/1000000+F36*80*0.22*365/1000000)-F46*F37*365/1000000-$F$18*(F34*80*$F$12*365/1000000+F35*Scenarios!G10*$F$13*365/1000000+F36*80*0.22*365/1000000))-MAX((((F34*80*$F$12*365/1000000+F35*Scenarios!G10*$F$13*365/1000000+F36*80*0.22*365/1000000)-F46*F37*365/1000000-$F$18*(F34*80*$F$12*365/1000000+F35*Scenarios!G10*$F$13*365/1000000+F36*80*0.22*365/1000000))-F52),0)*$B$7-F56-$F$22*0.985^3*MAX(0.5,80/90)-$F$24)/(1+0.09)^3.5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+0.09)^4.5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+0.09)^5.5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+0.09)^6.5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B$18)/(0.09-$B$18))/(1+0.09)^6.5+-$B$8)*1000/$B$4</f>
        <v>146.37799115396402</v>
      </c>
      <c r="G89" s="42">
        <f>((((C34*80*$F$12*365/1000000+C35*Scenarios!D10*$F$13*365/1000000+C36*80*0.22*365/1000000)-C46*C37*365/1000000-$F$18*(C34*80*$F$12*365/1000000+C35*Scenarios!D10*$F$13*365/1000000+C36*80*0.22*365/1000000))-MAX((((C34*80*$F$12*365/1000000+C35*Scenarios!D10*$F$13*365/1000000+C36*80*0.22*365/1000000)-C46*C37*365/1000000-$F$18*(C34*80*$F$12*365/1000000+C35*Scenarios!D10*$F$13*365/1000000+C36*80*0.22*365/1000000))-C52),0)*$B$7-C56-$F$22*MAX(0.5,80/90)-$F$24)/(1+0.095)^0.5+(((D34*80*$F$12*365/1000000+D35*Scenarios!E10*$F$13*365/1000000+D36*80*0.22*365/1000000)-D46*D37*365/1000000-$F$18*(D34*80*$F$12*365/1000000+D35*Scenarios!E10*$F$13*365/1000000+D36*80*0.22*365/1000000))-MAX((((D34*80*$F$12*365/1000000+D35*Scenarios!E10*$F$13*365/1000000+D36*80*0.22*365/1000000)-D46*D37*365/1000000-$F$18*(D34*80*$F$12*365/1000000+D35*Scenarios!E10*$F$13*365/1000000+D36*80*0.22*365/1000000))-D52),0)*$B$7-D56-$F$22*0.985^1*MAX(0.5,80/90)-$F$24)/(1+0.095)^1.5+(((E34*80*$F$12*365/1000000+E35*Scenarios!F10*$F$13*365/1000000+E36*80*0.22*365/1000000)-E46*E37*365/1000000-$F$18*(E34*80*$F$12*365/1000000+E35*Scenarios!F10*$F$13*365/1000000+E36*80*0.22*365/1000000))-MAX((((E34*80*$F$12*365/1000000+E35*Scenarios!F10*$F$13*365/1000000+E36*80*0.22*365/1000000)-E46*E37*365/1000000-$F$18*(E34*80*$F$12*365/1000000+E35*Scenarios!F10*$F$13*365/1000000+E36*80*0.22*365/1000000))-E52),0)*$B$7-E56-$F$22*0.985^2*MAX(0.5,80/90)-$F$24)/(1+0.095)^2.5+(((F34*80*$F$12*365/1000000+F35*Scenarios!G10*$F$13*365/1000000+F36*80*0.22*365/1000000)-F46*F37*365/1000000-$F$18*(F34*80*$F$12*365/1000000+F35*Scenarios!G10*$F$13*365/1000000+F36*80*0.22*365/1000000))-MAX((((F34*80*$F$12*365/1000000+F35*Scenarios!G10*$F$13*365/1000000+F36*80*0.22*365/1000000)-F46*F37*365/1000000-$F$18*(F34*80*$F$12*365/1000000+F35*Scenarios!G10*$F$13*365/1000000+F36*80*0.22*365/1000000))-F52),0)*$B$7-F56-$F$22*0.985^3*MAX(0.5,80/90)-$F$24)/(1+0.095)^3.5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+0.095)^4.5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+0.095)^5.5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+0.095)^6.5+((((G34*80*$F$12*365/1000000+G35*Scenarios!H10*$F$13*365/1000000+G36*80*0.22*365/1000000)-G46*G37*365/1000000-$F$18*(G34*80*$F$12*365/1000000+G35*Scenarios!H10*$F$13*365/1000000+G36*80*0.22*365/1000000))-MAX((((G34*80*$F$12*365/1000000+G35*Scenarios!H10*$F$13*365/1000000+G36*80*0.22*365/1000000)-G46*G37*365/1000000-$F$18*(G34*80*$F$12*365/1000000+G35*Scenarios!H10*$F$13*365/1000000+G36*80*0.22*365/1000000))-G52),0)*$B$7-G56-$F$22*0.985^4*MAX(0.5,80/90)-$F$24)*1.025*1.02*(1+$B$18)/(0.095-$B$18))/(1+0.095)^6.5+-$B$8)*1000/$B$4</f>
        <v>136.20178539791999</v>
      </c>
      <c r="H89" s="25"/>
    </row>
    <row r="90" spans="1:14" x14ac:dyDescent="0.3">
      <c r="A90" s="62" t="s">
        <v>42</v>
      </c>
      <c r="B90" s="26"/>
      <c r="C90" s="42">
        <f>((((C34*85*$F$12*365/1000000+C35*Scenarios!D10*$F$13*365/1000000+C36*85*0.22*365/1000000)-C46*C37*365/1000000-$F$18*(C34*85*$F$12*365/1000000+C35*Scenarios!D10*$F$13*365/1000000+C36*85*0.22*365/1000000))-MAX((((C34*85*$F$12*365/1000000+C35*Scenarios!D10*$F$13*365/1000000+C36*85*0.22*365/1000000)-C46*C37*365/1000000-$F$18*(C34*85*$F$12*365/1000000+C35*Scenarios!D10*$F$13*365/1000000+C36*85*0.22*365/1000000))-C52),0)*$B$7-C56-$F$22*MAX(0.5,85/90)-$F$24)/(1+0.075)^0.5+(((D34*85*$F$12*365/1000000+D35*Scenarios!E10*$F$13*365/1000000+D36*85*0.22*365/1000000)-D46*D37*365/1000000-$F$18*(D34*85*$F$12*365/1000000+D35*Scenarios!E10*$F$13*365/1000000+D36*85*0.22*365/1000000))-MAX((((D34*85*$F$12*365/1000000+D35*Scenarios!E10*$F$13*365/1000000+D36*85*0.22*365/1000000)-D46*D37*365/1000000-$F$18*(D34*85*$F$12*365/1000000+D35*Scenarios!E10*$F$13*365/1000000+D36*85*0.22*365/1000000))-D52),0)*$B$7-D56-$F$22*0.985^1*MAX(0.5,85/90)-$F$24)/(1+0.075)^1.5+(((E34*85*$F$12*365/1000000+E35*Scenarios!F10*$F$13*365/1000000+E36*85*0.22*365/1000000)-E46*E37*365/1000000-$F$18*(E34*85*$F$12*365/1000000+E35*Scenarios!F10*$F$13*365/1000000+E36*85*0.22*365/1000000))-MAX((((E34*85*$F$12*365/1000000+E35*Scenarios!F10*$F$13*365/1000000+E36*85*0.22*365/1000000)-E46*E37*365/1000000-$F$18*(E34*85*$F$12*365/1000000+E35*Scenarios!F10*$F$13*365/1000000+E36*85*0.22*365/1000000))-E52),0)*$B$7-E56-$F$22*0.985^2*MAX(0.5,85/90)-$F$24)/(1+0.075)^2.5+(((F34*85*$F$12*365/1000000+F35*Scenarios!G10*$F$13*365/1000000+F36*85*0.22*365/1000000)-F46*F37*365/1000000-$F$18*(F34*85*$F$12*365/1000000+F35*Scenarios!G10*$F$13*365/1000000+F36*85*0.22*365/1000000))-MAX((((F34*85*$F$12*365/1000000+F35*Scenarios!G10*$F$13*365/1000000+F36*85*0.22*365/1000000)-F46*F37*365/1000000-$F$18*(F34*85*$F$12*365/1000000+F35*Scenarios!G10*$F$13*365/1000000+F36*85*0.22*365/1000000))-F52),0)*$B$7-F56-$F$22*0.985^3*MAX(0.5,85/90)-$F$24)/(1+0.075)^3.5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+0.075)^4.5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+0.075)^5.5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+0.075)^6.5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B$18)/(0.075-$B$18))/(1+0.075)^6.5+-$B$8)*1000/$B$4</f>
        <v>211.02041878665213</v>
      </c>
      <c r="D90" s="42">
        <f>((((C34*85*$F$12*365/1000000+C35*Scenarios!D10*$F$13*365/1000000+C36*85*0.22*365/1000000)-C46*C37*365/1000000-$F$18*(C34*85*$F$12*365/1000000+C35*Scenarios!D10*$F$13*365/1000000+C36*85*0.22*365/1000000))-MAX((((C34*85*$F$12*365/1000000+C35*Scenarios!D10*$F$13*365/1000000+C36*85*0.22*365/1000000)-C46*C37*365/1000000-$F$18*(C34*85*$F$12*365/1000000+C35*Scenarios!D10*$F$13*365/1000000+C36*85*0.22*365/1000000))-C52),0)*$B$7-C56-$F$22*MAX(0.5,85/90)-$F$24)/(1+0.08)^0.5+(((D34*85*$F$12*365/1000000+D35*Scenarios!E10*$F$13*365/1000000+D36*85*0.22*365/1000000)-D46*D37*365/1000000-$F$18*(D34*85*$F$12*365/1000000+D35*Scenarios!E10*$F$13*365/1000000+D36*85*0.22*365/1000000))-MAX((((D34*85*$F$12*365/1000000+D35*Scenarios!E10*$F$13*365/1000000+D36*85*0.22*365/1000000)-D46*D37*365/1000000-$F$18*(D34*85*$F$12*365/1000000+D35*Scenarios!E10*$F$13*365/1000000+D36*85*0.22*365/1000000))-D52),0)*$B$7-D56-$F$22*0.985^1*MAX(0.5,85/90)-$F$24)/(1+0.08)^1.5+(((E34*85*$F$12*365/1000000+E35*Scenarios!F10*$F$13*365/1000000+E36*85*0.22*365/1000000)-E46*E37*365/1000000-$F$18*(E34*85*$F$12*365/1000000+E35*Scenarios!F10*$F$13*365/1000000+E36*85*0.22*365/1000000))-MAX((((E34*85*$F$12*365/1000000+E35*Scenarios!F10*$F$13*365/1000000+E36*85*0.22*365/1000000)-E46*E37*365/1000000-$F$18*(E34*85*$F$12*365/1000000+E35*Scenarios!F10*$F$13*365/1000000+E36*85*0.22*365/1000000))-E52),0)*$B$7-E56-$F$22*0.985^2*MAX(0.5,85/90)-$F$24)/(1+0.08)^2.5+(((F34*85*$F$12*365/1000000+F35*Scenarios!G10*$F$13*365/1000000+F36*85*0.22*365/1000000)-F46*F37*365/1000000-$F$18*(F34*85*$F$12*365/1000000+F35*Scenarios!G10*$F$13*365/1000000+F36*85*0.22*365/1000000))-MAX((((F34*85*$F$12*365/1000000+F35*Scenarios!G10*$F$13*365/1000000+F36*85*0.22*365/1000000)-F46*F37*365/1000000-$F$18*(F34*85*$F$12*365/1000000+F35*Scenarios!G10*$F$13*365/1000000+F36*85*0.22*365/1000000))-F52),0)*$B$7-F56-$F$22*0.985^3*MAX(0.5,85/90)-$F$24)/(1+0.08)^3.5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+0.08)^4.5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+0.08)^5.5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+0.08)^6.5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B$18)/(0.08-$B$18))/(1+0.08)^6.5+-$B$8)*1000/$B$4</f>
        <v>192.93967921409967</v>
      </c>
      <c r="E90" s="42">
        <f>((((C34*85*$F$12*365/1000000+C35*Scenarios!D10*$F$13*365/1000000+C36*85*0.22*365/1000000)-C46*C37*365/1000000-$F$18*(C34*85*$F$12*365/1000000+C35*Scenarios!D10*$F$13*365/1000000+C36*85*0.22*365/1000000))-MAX((((C34*85*$F$12*365/1000000+C35*Scenarios!D10*$F$13*365/1000000+C36*85*0.22*365/1000000)-C46*C37*365/1000000-$F$18*(C34*85*$F$12*365/1000000+C35*Scenarios!D10*$F$13*365/1000000+C36*85*0.22*365/1000000))-C52),0)*$B$7-C56-$F$22*MAX(0.5,85/90)-$F$24)/(1+0.085)^0.5+(((D34*85*$F$12*365/1000000+D35*Scenarios!E10*$F$13*365/1000000+D36*85*0.22*365/1000000)-D46*D37*365/1000000-$F$18*(D34*85*$F$12*365/1000000+D35*Scenarios!E10*$F$13*365/1000000+D36*85*0.22*365/1000000))-MAX((((D34*85*$F$12*365/1000000+D35*Scenarios!E10*$F$13*365/1000000+D36*85*0.22*365/1000000)-D46*D37*365/1000000-$F$18*(D34*85*$F$12*365/1000000+D35*Scenarios!E10*$F$13*365/1000000+D36*85*0.22*365/1000000))-D52),0)*$B$7-D56-$F$22*0.985^1*MAX(0.5,85/90)-$F$24)/(1+0.085)^1.5+(((E34*85*$F$12*365/1000000+E35*Scenarios!F10*$F$13*365/1000000+E36*85*0.22*365/1000000)-E46*E37*365/1000000-$F$18*(E34*85*$F$12*365/1000000+E35*Scenarios!F10*$F$13*365/1000000+E36*85*0.22*365/1000000))-MAX((((E34*85*$F$12*365/1000000+E35*Scenarios!F10*$F$13*365/1000000+E36*85*0.22*365/1000000)-E46*E37*365/1000000-$F$18*(E34*85*$F$12*365/1000000+E35*Scenarios!F10*$F$13*365/1000000+E36*85*0.22*365/1000000))-E52),0)*$B$7-E56-$F$22*0.985^2*MAX(0.5,85/90)-$F$24)/(1+0.085)^2.5+(((F34*85*$F$12*365/1000000+F35*Scenarios!G10*$F$13*365/1000000+F36*85*0.22*365/1000000)-F46*F37*365/1000000-$F$18*(F34*85*$F$12*365/1000000+F35*Scenarios!G10*$F$13*365/1000000+F36*85*0.22*365/1000000))-MAX((((F34*85*$F$12*365/1000000+F35*Scenarios!G10*$F$13*365/1000000+F36*85*0.22*365/1000000)-F46*F37*365/1000000-$F$18*(F34*85*$F$12*365/1000000+F35*Scenarios!G10*$F$13*365/1000000+F36*85*0.22*365/1000000))-F52),0)*$B$7-F56-$F$22*0.985^3*MAX(0.5,85/90)-$F$24)/(1+0.085)^3.5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+0.085)^4.5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+0.085)^5.5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+0.085)^6.5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B$18)/(0.085-$B$18))/(1+0.085)^6.5+-$B$8)*1000/$B$4</f>
        <v>177.64266164137175</v>
      </c>
      <c r="F90" s="42">
        <f>((((C34*85*$F$12*365/1000000+C35*Scenarios!D10*$F$13*365/1000000+C36*85*0.22*365/1000000)-C46*C37*365/1000000-$F$18*(C34*85*$F$12*365/1000000+C35*Scenarios!D10*$F$13*365/1000000+C36*85*0.22*365/1000000))-MAX((((C34*85*$F$12*365/1000000+C35*Scenarios!D10*$F$13*365/1000000+C36*85*0.22*365/1000000)-C46*C37*365/1000000-$F$18*(C34*85*$F$12*365/1000000+C35*Scenarios!D10*$F$13*365/1000000+C36*85*0.22*365/1000000))-C52),0)*$B$7-C56-$F$22*MAX(0.5,85/90)-$F$24)/(1+0.09)^0.5+(((D34*85*$F$12*365/1000000+D35*Scenarios!E10*$F$13*365/1000000+D36*85*0.22*365/1000000)-D46*D37*365/1000000-$F$18*(D34*85*$F$12*365/1000000+D35*Scenarios!E10*$F$13*365/1000000+D36*85*0.22*365/1000000))-MAX((((D34*85*$F$12*365/1000000+D35*Scenarios!E10*$F$13*365/1000000+D36*85*0.22*365/1000000)-D46*D37*365/1000000-$F$18*(D34*85*$F$12*365/1000000+D35*Scenarios!E10*$F$13*365/1000000+D36*85*0.22*365/1000000))-D52),0)*$B$7-D56-$F$22*0.985^1*MAX(0.5,85/90)-$F$24)/(1+0.09)^1.5+(((E34*85*$F$12*365/1000000+E35*Scenarios!F10*$F$13*365/1000000+E36*85*0.22*365/1000000)-E46*E37*365/1000000-$F$18*(E34*85*$F$12*365/1000000+E35*Scenarios!F10*$F$13*365/1000000+E36*85*0.22*365/1000000))-MAX((((E34*85*$F$12*365/1000000+E35*Scenarios!F10*$F$13*365/1000000+E36*85*0.22*365/1000000)-E46*E37*365/1000000-$F$18*(E34*85*$F$12*365/1000000+E35*Scenarios!F10*$F$13*365/1000000+E36*85*0.22*365/1000000))-E52),0)*$B$7-E56-$F$22*0.985^2*MAX(0.5,85/90)-$F$24)/(1+0.09)^2.5+(((F34*85*$F$12*365/1000000+F35*Scenarios!G10*$F$13*365/1000000+F36*85*0.22*365/1000000)-F46*F37*365/1000000-$F$18*(F34*85*$F$12*365/1000000+F35*Scenarios!G10*$F$13*365/1000000+F36*85*0.22*365/1000000))-MAX((((F34*85*$F$12*365/1000000+F35*Scenarios!G10*$F$13*365/1000000+F36*85*0.22*365/1000000)-F46*F37*365/1000000-$F$18*(F34*85*$F$12*365/1000000+F35*Scenarios!G10*$F$13*365/1000000+F36*85*0.22*365/1000000))-F52),0)*$B$7-F56-$F$22*0.985^3*MAX(0.5,85/90)-$F$24)/(1+0.09)^3.5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+0.09)^4.5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+0.09)^5.5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+0.09)^6.5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B$18)/(0.09-$B$18))/(1+0.09)^6.5+-$B$8)*1000/$B$4</f>
        <v>164.53280074735432</v>
      </c>
      <c r="G90" s="42">
        <f>((((C34*85*$F$12*365/1000000+C35*Scenarios!D10*$F$13*365/1000000+C36*85*0.22*365/1000000)-C46*C37*365/1000000-$F$18*(C34*85*$F$12*365/1000000+C35*Scenarios!D10*$F$13*365/1000000+C36*85*0.22*365/1000000))-MAX((((C34*85*$F$12*365/1000000+C35*Scenarios!D10*$F$13*365/1000000+C36*85*0.22*365/1000000)-C46*C37*365/1000000-$F$18*(C34*85*$F$12*365/1000000+C35*Scenarios!D10*$F$13*365/1000000+C36*85*0.22*365/1000000))-C52),0)*$B$7-C56-$F$22*MAX(0.5,85/90)-$F$24)/(1+0.095)^0.5+(((D34*85*$F$12*365/1000000+D35*Scenarios!E10*$F$13*365/1000000+D36*85*0.22*365/1000000)-D46*D37*365/1000000-$F$18*(D34*85*$F$12*365/1000000+D35*Scenarios!E10*$F$13*365/1000000+D36*85*0.22*365/1000000))-MAX((((D34*85*$F$12*365/1000000+D35*Scenarios!E10*$F$13*365/1000000+D36*85*0.22*365/1000000)-D46*D37*365/1000000-$F$18*(D34*85*$F$12*365/1000000+D35*Scenarios!E10*$F$13*365/1000000+D36*85*0.22*365/1000000))-D52),0)*$B$7-D56-$F$22*0.985^1*MAX(0.5,85/90)-$F$24)/(1+0.095)^1.5+(((E34*85*$F$12*365/1000000+E35*Scenarios!F10*$F$13*365/1000000+E36*85*0.22*365/1000000)-E46*E37*365/1000000-$F$18*(E34*85*$F$12*365/1000000+E35*Scenarios!F10*$F$13*365/1000000+E36*85*0.22*365/1000000))-MAX((((E34*85*$F$12*365/1000000+E35*Scenarios!F10*$F$13*365/1000000+E36*85*0.22*365/1000000)-E46*E37*365/1000000-$F$18*(E34*85*$F$12*365/1000000+E35*Scenarios!F10*$F$13*365/1000000+E36*85*0.22*365/1000000))-E52),0)*$B$7-E56-$F$22*0.985^2*MAX(0.5,85/90)-$F$24)/(1+0.095)^2.5+(((F34*85*$F$12*365/1000000+F35*Scenarios!G10*$F$13*365/1000000+F36*85*0.22*365/1000000)-F46*F37*365/1000000-$F$18*(F34*85*$F$12*365/1000000+F35*Scenarios!G10*$F$13*365/1000000+F36*85*0.22*365/1000000))-MAX((((F34*85*$F$12*365/1000000+F35*Scenarios!G10*$F$13*365/1000000+F36*85*0.22*365/1000000)-F46*F37*365/1000000-$F$18*(F34*85*$F$12*365/1000000+F35*Scenarios!G10*$F$13*365/1000000+F36*85*0.22*365/1000000))-F52),0)*$B$7-F56-$F$22*0.985^3*MAX(0.5,85/90)-$F$24)/(1+0.095)^3.5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+0.095)^4.5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+0.095)^5.5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+0.095)^6.5+((((G34*85*$F$12*365/1000000+G35*Scenarios!H10*$F$13*365/1000000+G36*85*0.22*365/1000000)-G46*G37*365/1000000-$F$18*(G34*85*$F$12*365/1000000+G35*Scenarios!H10*$F$13*365/1000000+G36*85*0.22*365/1000000))-MAX((((G34*85*$F$12*365/1000000+G35*Scenarios!H10*$F$13*365/1000000+G36*85*0.22*365/1000000)-G46*G37*365/1000000-$F$18*(G34*85*$F$12*365/1000000+G35*Scenarios!H10*$F$13*365/1000000+G36*85*0.22*365/1000000))-G52),0)*$B$7-G56-$F$22*0.985^4*MAX(0.5,85/90)-$F$24)*1.025*1.02*(1+$B$18)/(0.095-$B$18))/(1+0.095)^6.5+-$B$8)*1000/$B$4</f>
        <v>153.17261672746017</v>
      </c>
      <c r="H90" s="25"/>
    </row>
    <row r="91" spans="1:14" x14ac:dyDescent="0.3">
      <c r="A91" s="22" t="s">
        <v>51</v>
      </c>
      <c r="B91" s="50"/>
      <c r="C91" s="51">
        <f>((((C34*90*$F$12*365/1000000+C35*Scenarios!D10*$F$13*365/1000000+C36*90*0.22*365/1000000)-C46*C37*365/1000000-$F$18*(C34*90*$F$12*365/1000000+C35*Scenarios!D10*$F$13*365/1000000+C36*90*0.22*365/1000000))-MAX((((C34*90*$F$12*365/1000000+C35*Scenarios!D10*$F$13*365/1000000+C36*90*0.22*365/1000000)-C46*C37*365/1000000-$F$18*(C34*90*$F$12*365/1000000+C35*Scenarios!D10*$F$13*365/1000000+C36*90*0.22*365/1000000))-C52),0)*$B$7-C56-$F$22*MAX(0.5,90/90)-$F$24)/(1+0.075)^0.5+(((D34*90*$F$12*365/1000000+D35*Scenarios!E10*$F$13*365/1000000+D36*90*0.22*365/1000000)-D46*D37*365/1000000-$F$18*(D34*90*$F$12*365/1000000+D35*Scenarios!E10*$F$13*365/1000000+D36*90*0.22*365/1000000))-MAX((((D34*90*$F$12*365/1000000+D35*Scenarios!E10*$F$13*365/1000000+D36*90*0.22*365/1000000)-D46*D37*365/1000000-$F$18*(D34*90*$F$12*365/1000000+D35*Scenarios!E10*$F$13*365/1000000+D36*90*0.22*365/1000000))-D52),0)*$B$7-D56-$F$22*0.985^1*MAX(0.5,90/90)-$F$24)/(1+0.075)^1.5+(((E34*90*$F$12*365/1000000+E35*Scenarios!F10*$F$13*365/1000000+E36*90*0.22*365/1000000)-E46*E37*365/1000000-$F$18*(E34*90*$F$12*365/1000000+E35*Scenarios!F10*$F$13*365/1000000+E36*90*0.22*365/1000000))-MAX((((E34*90*$F$12*365/1000000+E35*Scenarios!F10*$F$13*365/1000000+E36*90*0.22*365/1000000)-E46*E37*365/1000000-$F$18*(E34*90*$F$12*365/1000000+E35*Scenarios!F10*$F$13*365/1000000+E36*90*0.22*365/1000000))-E52),0)*$B$7-E56-$F$22*0.985^2*MAX(0.5,90/90)-$F$24)/(1+0.075)^2.5+(((F34*90*$F$12*365/1000000+F35*Scenarios!G10*$F$13*365/1000000+F36*90*0.22*365/1000000)-F46*F37*365/1000000-$F$18*(F34*90*$F$12*365/1000000+F35*Scenarios!G10*$F$13*365/1000000+F36*90*0.22*365/1000000))-MAX((((F34*90*$F$12*365/1000000+F35*Scenarios!G10*$F$13*365/1000000+F36*90*0.22*365/1000000)-F46*F37*365/1000000-$F$18*(F34*90*$F$12*365/1000000+F35*Scenarios!G10*$F$13*365/1000000+F36*90*0.22*365/1000000))-F52),0)*$B$7-F56-$F$22*0.985^3*MAX(0.5,90/90)-$F$24)/(1+0.075)^3.5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+0.075)^4.5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+0.075)^5.5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+0.075)^6.5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B$18)/(0.075-$B$18))/(1+0.075)^6.5+-$B$8)*1000/$B$4</f>
        <v>234.0193904519281</v>
      </c>
      <c r="D91" s="51">
        <f>((((C34*90*$F$12*365/1000000+C35*Scenarios!D10*$F$13*365/1000000+C36*90*0.22*365/1000000)-C46*C37*365/1000000-$F$18*(C34*90*$F$12*365/1000000+C35*Scenarios!D10*$F$13*365/1000000+C36*90*0.22*365/1000000))-MAX((((C34*90*$F$12*365/1000000+C35*Scenarios!D10*$F$13*365/1000000+C36*90*0.22*365/1000000)-C46*C37*365/1000000-$F$18*(C34*90*$F$12*365/1000000+C35*Scenarios!D10*$F$13*365/1000000+C36*90*0.22*365/1000000))-C52),0)*$B$7-C56-$F$22*MAX(0.5,90/90)-$F$24)/(1+0.08)^0.5+(((D34*90*$F$12*365/1000000+D35*Scenarios!E10*$F$13*365/1000000+D36*90*0.22*365/1000000)-D46*D37*365/1000000-$F$18*(D34*90*$F$12*365/1000000+D35*Scenarios!E10*$F$13*365/1000000+D36*90*0.22*365/1000000))-MAX((((D34*90*$F$12*365/1000000+D35*Scenarios!E10*$F$13*365/1000000+D36*90*0.22*365/1000000)-D46*D37*365/1000000-$F$18*(D34*90*$F$12*365/1000000+D35*Scenarios!E10*$F$13*365/1000000+D36*90*0.22*365/1000000))-D52),0)*$B$7-D56-$F$22*0.985^1*MAX(0.5,90/90)-$F$24)/(1+0.08)^1.5+(((E34*90*$F$12*365/1000000+E35*Scenarios!F10*$F$13*365/1000000+E36*90*0.22*365/1000000)-E46*E37*365/1000000-$F$18*(E34*90*$F$12*365/1000000+E35*Scenarios!F10*$F$13*365/1000000+E36*90*0.22*365/1000000))-MAX((((E34*90*$F$12*365/1000000+E35*Scenarios!F10*$F$13*365/1000000+E36*90*0.22*365/1000000)-E46*E37*365/1000000-$F$18*(E34*90*$F$12*365/1000000+E35*Scenarios!F10*$F$13*365/1000000+E36*90*0.22*365/1000000))-E52),0)*$B$7-E56-$F$22*0.985^2*MAX(0.5,90/90)-$F$24)/(1+0.08)^2.5+(((F34*90*$F$12*365/1000000+F35*Scenarios!G10*$F$13*365/1000000+F36*90*0.22*365/1000000)-F46*F37*365/1000000-$F$18*(F34*90*$F$12*365/1000000+F35*Scenarios!G10*$F$13*365/1000000+F36*90*0.22*365/1000000))-MAX((((F34*90*$F$12*365/1000000+F35*Scenarios!G10*$F$13*365/1000000+F36*90*0.22*365/1000000)-F46*F37*365/1000000-$F$18*(F34*90*$F$12*365/1000000+F35*Scenarios!G10*$F$13*365/1000000+F36*90*0.22*365/1000000))-F52),0)*$B$7-F56-$F$22*0.985^3*MAX(0.5,90/90)-$F$24)/(1+0.08)^3.5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+0.08)^4.5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+0.08)^5.5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+0.08)^6.5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B$18)/(0.08-$B$18))/(1+0.08)^6.5+-$B$8)*1000/$B$4</f>
        <v>214.05471244155507</v>
      </c>
      <c r="E91" s="51">
        <f>((((C34*90*$F$12*365/1000000+C35*Scenarios!D10*$F$13*365/1000000+C36*90*0.22*365/1000000)-C46*C37*365/1000000-$F$18*(C34*90*$F$12*365/1000000+C35*Scenarios!D10*$F$13*365/1000000+C36*90*0.22*365/1000000))-MAX((((C34*90*$F$12*365/1000000+C35*Scenarios!D10*$F$13*365/1000000+C36*90*0.22*365/1000000)-C46*C37*365/1000000-$F$18*(C34*90*$F$12*365/1000000+C35*Scenarios!D10*$F$13*365/1000000+C36*90*0.22*365/1000000))-C52),0)*$B$7-C56-$F$22*MAX(0.5,90/90)-$F$24)/(1+0.085)^0.5+(((D34*90*$F$12*365/1000000+D35*Scenarios!E10*$F$13*365/1000000+D36*90*0.22*365/1000000)-D46*D37*365/1000000-$F$18*(D34*90*$F$12*365/1000000+D35*Scenarios!E10*$F$13*365/1000000+D36*90*0.22*365/1000000))-MAX((((D34*90*$F$12*365/1000000+D35*Scenarios!E10*$F$13*365/1000000+D36*90*0.22*365/1000000)-D46*D37*365/1000000-$F$18*(D34*90*$F$12*365/1000000+D35*Scenarios!E10*$F$13*365/1000000+D36*90*0.22*365/1000000))-D52),0)*$B$7-D56-$F$22*0.985^1*MAX(0.5,90/90)-$F$24)/(1+0.085)^1.5+(((E34*90*$F$12*365/1000000+E35*Scenarios!F10*$F$13*365/1000000+E36*90*0.22*365/1000000)-E46*E37*365/1000000-$F$18*(E34*90*$F$12*365/1000000+E35*Scenarios!F10*$F$13*365/1000000+E36*90*0.22*365/1000000))-MAX((((E34*90*$F$12*365/1000000+E35*Scenarios!F10*$F$13*365/1000000+E36*90*0.22*365/1000000)-E46*E37*365/1000000-$F$18*(E34*90*$F$12*365/1000000+E35*Scenarios!F10*$F$13*365/1000000+E36*90*0.22*365/1000000))-E52),0)*$B$7-E56-$F$22*0.985^2*MAX(0.5,90/90)-$F$24)/(1+0.085)^2.5+(((F34*90*$F$12*365/1000000+F35*Scenarios!G10*$F$13*365/1000000+F36*90*0.22*365/1000000)-F46*F37*365/1000000-$F$18*(F34*90*$F$12*365/1000000+F35*Scenarios!G10*$F$13*365/1000000+F36*90*0.22*365/1000000))-MAX((((F34*90*$F$12*365/1000000+F35*Scenarios!G10*$F$13*365/1000000+F36*90*0.22*365/1000000)-F46*F37*365/1000000-$F$18*(F34*90*$F$12*365/1000000+F35*Scenarios!G10*$F$13*365/1000000+F36*90*0.22*365/1000000))-F52),0)*$B$7-F56-$F$22*0.985^3*MAX(0.5,90/90)-$F$24)/(1+0.085)^3.5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+0.085)^4.5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+0.085)^5.5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+0.085)^6.5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B$18)/(0.085-$B$18))/(1+0.085)^6.5+-$B$8)*1000/$B$4</f>
        <v>197.16368440146604</v>
      </c>
      <c r="F91" s="51">
        <f>((((C34*90*$F$12*365/1000000+C35*Scenarios!D10*$F$13*365/1000000+C36*90*0.22*365/1000000)-C46*C37*365/1000000-$F$18*(C34*90*$F$12*365/1000000+C35*Scenarios!D10*$F$13*365/1000000+C36*90*0.22*365/1000000))-MAX((((C34*90*$F$12*365/1000000+C35*Scenarios!D10*$F$13*365/1000000+C36*90*0.22*365/1000000)-C46*C37*365/1000000-$F$18*(C34*90*$F$12*365/1000000+C35*Scenarios!D10*$F$13*365/1000000+C36*90*0.22*365/1000000))-C52),0)*$B$7-C56-$F$22*MAX(0.5,90/90)-$F$24)/(1+0.09)^0.5+(((D34*90*$F$12*365/1000000+D35*Scenarios!E10*$F$13*365/1000000+D36*90*0.22*365/1000000)-D46*D37*365/1000000-$F$18*(D34*90*$F$12*365/1000000+D35*Scenarios!E10*$F$13*365/1000000+D36*90*0.22*365/1000000))-MAX((((D34*90*$F$12*365/1000000+D35*Scenarios!E10*$F$13*365/1000000+D36*90*0.22*365/1000000)-D46*D37*365/1000000-$F$18*(D34*90*$F$12*365/1000000+D35*Scenarios!E10*$F$13*365/1000000+D36*90*0.22*365/1000000))-D52),0)*$B$7-D56-$F$22*0.985^1*MAX(0.5,90/90)-$F$24)/(1+0.09)^1.5+(((E34*90*$F$12*365/1000000+E35*Scenarios!F10*$F$13*365/1000000+E36*90*0.22*365/1000000)-E46*E37*365/1000000-$F$18*(E34*90*$F$12*365/1000000+E35*Scenarios!F10*$F$13*365/1000000+E36*90*0.22*365/1000000))-MAX((((E34*90*$F$12*365/1000000+E35*Scenarios!F10*$F$13*365/1000000+E36*90*0.22*365/1000000)-E46*E37*365/1000000-$F$18*(E34*90*$F$12*365/1000000+E35*Scenarios!F10*$F$13*365/1000000+E36*90*0.22*365/1000000))-E52),0)*$B$7-E56-$F$22*0.985^2*MAX(0.5,90/90)-$F$24)/(1+0.09)^2.5+(((F34*90*$F$12*365/1000000+F35*Scenarios!G10*$F$13*365/1000000+F36*90*0.22*365/1000000)-F46*F37*365/1000000-$F$18*(F34*90*$F$12*365/1000000+F35*Scenarios!G10*$F$13*365/1000000+F36*90*0.22*365/1000000))-MAX((((F34*90*$F$12*365/1000000+F35*Scenarios!G10*$F$13*365/1000000+F36*90*0.22*365/1000000)-F46*F37*365/1000000-$F$18*(F34*90*$F$12*365/1000000+F35*Scenarios!G10*$F$13*365/1000000+F36*90*0.22*365/1000000))-F52),0)*$B$7-F56-$F$22*0.985^3*MAX(0.5,90/90)-$F$24)/(1+0.09)^3.5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+0.09)^4.5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+0.09)^5.5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+0.09)^6.5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B$18)/(0.09-$B$18))/(1+0.09)^6.5+-$B$8)*1000/$B$4</f>
        <v>182.68761034074473</v>
      </c>
      <c r="G91" s="51">
        <f>((((C34*90*$F$12*365/1000000+C35*Scenarios!D10*$F$13*365/1000000+C36*90*0.22*365/1000000)-C46*C37*365/1000000-$F$18*(C34*90*$F$12*365/1000000+C35*Scenarios!D10*$F$13*365/1000000+C36*90*0.22*365/1000000))-MAX((((C34*90*$F$12*365/1000000+C35*Scenarios!D10*$F$13*365/1000000+C36*90*0.22*365/1000000)-C46*C37*365/1000000-$F$18*(C34*90*$F$12*365/1000000+C35*Scenarios!D10*$F$13*365/1000000+C36*90*0.22*365/1000000))-C52),0)*$B$7-C56-$F$22*MAX(0.5,90/90)-$F$24)/(1+0.095)^0.5+(((D34*90*$F$12*365/1000000+D35*Scenarios!E10*$F$13*365/1000000+D36*90*0.22*365/1000000)-D46*D37*365/1000000-$F$18*(D34*90*$F$12*365/1000000+D35*Scenarios!E10*$F$13*365/1000000+D36*90*0.22*365/1000000))-MAX((((D34*90*$F$12*365/1000000+D35*Scenarios!E10*$F$13*365/1000000+D36*90*0.22*365/1000000)-D46*D37*365/1000000-$F$18*(D34*90*$F$12*365/1000000+D35*Scenarios!E10*$F$13*365/1000000+D36*90*0.22*365/1000000))-D52),0)*$B$7-D56-$F$22*0.985^1*MAX(0.5,90/90)-$F$24)/(1+0.095)^1.5+(((E34*90*$F$12*365/1000000+E35*Scenarios!F10*$F$13*365/1000000+E36*90*0.22*365/1000000)-E46*E37*365/1000000-$F$18*(E34*90*$F$12*365/1000000+E35*Scenarios!F10*$F$13*365/1000000+E36*90*0.22*365/1000000))-MAX((((E34*90*$F$12*365/1000000+E35*Scenarios!F10*$F$13*365/1000000+E36*90*0.22*365/1000000)-E46*E37*365/1000000-$F$18*(E34*90*$F$12*365/1000000+E35*Scenarios!F10*$F$13*365/1000000+E36*90*0.22*365/1000000))-E52),0)*$B$7-E56-$F$22*0.985^2*MAX(0.5,90/90)-$F$24)/(1+0.095)^2.5+(((F34*90*$F$12*365/1000000+F35*Scenarios!G10*$F$13*365/1000000+F36*90*0.22*365/1000000)-F46*F37*365/1000000-$F$18*(F34*90*$F$12*365/1000000+F35*Scenarios!G10*$F$13*365/1000000+F36*90*0.22*365/1000000))-MAX((((F34*90*$F$12*365/1000000+F35*Scenarios!G10*$F$13*365/1000000+F36*90*0.22*365/1000000)-F46*F37*365/1000000-$F$18*(F34*90*$F$12*365/1000000+F35*Scenarios!G10*$F$13*365/1000000+F36*90*0.22*365/1000000))-F52),0)*$B$7-F56-$F$22*0.985^3*MAX(0.5,90/90)-$F$24)/(1+0.095)^3.5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+0.095)^4.5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+0.095)^5.5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+0.095)^6.5+((((G34*90*$F$12*365/1000000+G35*Scenarios!H10*$F$13*365/1000000+G36*90*0.22*365/1000000)-G46*G37*365/1000000-$F$18*(G34*90*$F$12*365/1000000+G35*Scenarios!H10*$F$13*365/1000000+G36*90*0.22*365/1000000))-MAX((((G34*90*$F$12*365/1000000+G35*Scenarios!H10*$F$13*365/1000000+G36*90*0.22*365/1000000)-G46*G37*365/1000000-$F$18*(G34*90*$F$12*365/1000000+G35*Scenarios!H10*$F$13*365/1000000+G36*90*0.22*365/1000000))-G52),0)*$B$7-G56-$F$22*0.985^4*MAX(0.5,90/90)-$F$24)*1.025*1.02*(1+$B$18)/(0.095-$B$18))/(1+0.095)^6.5+-$B$8)*1000/$B$4</f>
        <v>170.1434480570004</v>
      </c>
      <c r="H91" s="52"/>
    </row>
    <row r="92" spans="1:14" x14ac:dyDescent="0.3">
      <c r="A92" s="62" t="s">
        <v>43</v>
      </c>
      <c r="B92" s="26"/>
      <c r="C92" s="42">
        <f>((((C34*95*$F$12*365/1000000+C35*Scenarios!D10*$F$13*365/1000000+C36*95*0.22*365/1000000)-C46*C37*365/1000000-$F$18*(C34*95*$F$12*365/1000000+C35*Scenarios!D10*$F$13*365/1000000+C36*95*0.22*365/1000000))-MAX((((C34*95*$F$12*365/1000000+C35*Scenarios!D10*$F$13*365/1000000+C36*95*0.22*365/1000000)-C46*C37*365/1000000-$F$18*(C34*95*$F$12*365/1000000+C35*Scenarios!D10*$F$13*365/1000000+C36*95*0.22*365/1000000))-C52),0)*$B$7-C56-$F$22*MAX(0.5,95/90)-$F$24)/(1+0.075)^0.5+(((D34*95*$F$12*365/1000000+D35*Scenarios!E10*$F$13*365/1000000+D36*95*0.22*365/1000000)-D46*D37*365/1000000-$F$18*(D34*95*$F$12*365/1000000+D35*Scenarios!E10*$F$13*365/1000000+D36*95*0.22*365/1000000))-MAX((((D34*95*$F$12*365/1000000+D35*Scenarios!E10*$F$13*365/1000000+D36*95*0.22*365/1000000)-D46*D37*365/1000000-$F$18*(D34*95*$F$12*365/1000000+D35*Scenarios!E10*$F$13*365/1000000+D36*95*0.22*365/1000000))-D52),0)*$B$7-D56-$F$22*0.985^1*MAX(0.5,95/90)-$F$24)/(1+0.075)^1.5+(((E34*95*$F$12*365/1000000+E35*Scenarios!F10*$F$13*365/1000000+E36*95*0.22*365/1000000)-E46*E37*365/1000000-$F$18*(E34*95*$F$12*365/1000000+E35*Scenarios!F10*$F$13*365/1000000+E36*95*0.22*365/1000000))-MAX((((E34*95*$F$12*365/1000000+E35*Scenarios!F10*$F$13*365/1000000+E36*95*0.22*365/1000000)-E46*E37*365/1000000-$F$18*(E34*95*$F$12*365/1000000+E35*Scenarios!F10*$F$13*365/1000000+E36*95*0.22*365/1000000))-E52),0)*$B$7-E56-$F$22*0.985^2*MAX(0.5,95/90)-$F$24)/(1+0.075)^2.5+(((F34*95*$F$12*365/1000000+F35*Scenarios!G10*$F$13*365/1000000+F36*95*0.22*365/1000000)-F46*F37*365/1000000-$F$18*(F34*95*$F$12*365/1000000+F35*Scenarios!G10*$F$13*365/1000000+F36*95*0.22*365/1000000))-MAX((((F34*95*$F$12*365/1000000+F35*Scenarios!G10*$F$13*365/1000000+F36*95*0.22*365/1000000)-F46*F37*365/1000000-$F$18*(F34*95*$F$12*365/1000000+F35*Scenarios!G10*$F$13*365/1000000+F36*95*0.22*365/1000000))-F52),0)*$B$7-F56-$F$22*0.985^3*MAX(0.5,95/90)-$F$24)/(1+0.075)^3.5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+0.075)^4.5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+0.075)^5.5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+0.075)^6.5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B$18)/(0.075-$B$18))/(1+0.075)^6.5+-$B$8)*1000/$B$4</f>
        <v>257.01836211720394</v>
      </c>
      <c r="D92" s="42">
        <f>((((C34*95*$F$12*365/1000000+C35*Scenarios!D10*$F$13*365/1000000+C36*95*0.22*365/1000000)-C46*C37*365/1000000-$F$18*(C34*95*$F$12*365/1000000+C35*Scenarios!D10*$F$13*365/1000000+C36*95*0.22*365/1000000))-MAX((((C34*95*$F$12*365/1000000+C35*Scenarios!D10*$F$13*365/1000000+C36*95*0.22*365/1000000)-C46*C37*365/1000000-$F$18*(C34*95*$F$12*365/1000000+C35*Scenarios!D10*$F$13*365/1000000+C36*95*0.22*365/1000000))-C52),0)*$B$7-C56-$F$22*MAX(0.5,95/90)-$F$24)/(1+0.08)^0.5+(((D34*95*$F$12*365/1000000+D35*Scenarios!E10*$F$13*365/1000000+D36*95*0.22*365/1000000)-D46*D37*365/1000000-$F$18*(D34*95*$F$12*365/1000000+D35*Scenarios!E10*$F$13*365/1000000+D36*95*0.22*365/1000000))-MAX((((D34*95*$F$12*365/1000000+D35*Scenarios!E10*$F$13*365/1000000+D36*95*0.22*365/1000000)-D46*D37*365/1000000-$F$18*(D34*95*$F$12*365/1000000+D35*Scenarios!E10*$F$13*365/1000000+D36*95*0.22*365/1000000))-D52),0)*$B$7-D56-$F$22*0.985^1*MAX(0.5,95/90)-$F$24)/(1+0.08)^1.5+(((E34*95*$F$12*365/1000000+E35*Scenarios!F10*$F$13*365/1000000+E36*95*0.22*365/1000000)-E46*E37*365/1000000-$F$18*(E34*95*$F$12*365/1000000+E35*Scenarios!F10*$F$13*365/1000000+E36*95*0.22*365/1000000))-MAX((((E34*95*$F$12*365/1000000+E35*Scenarios!F10*$F$13*365/1000000+E36*95*0.22*365/1000000)-E46*E37*365/1000000-$F$18*(E34*95*$F$12*365/1000000+E35*Scenarios!F10*$F$13*365/1000000+E36*95*0.22*365/1000000))-E52),0)*$B$7-E56-$F$22*0.985^2*MAX(0.5,95/90)-$F$24)/(1+0.08)^2.5+(((F34*95*$F$12*365/1000000+F35*Scenarios!G10*$F$13*365/1000000+F36*95*0.22*365/1000000)-F46*F37*365/1000000-$F$18*(F34*95*$F$12*365/1000000+F35*Scenarios!G10*$F$13*365/1000000+F36*95*0.22*365/1000000))-MAX((((F34*95*$F$12*365/1000000+F35*Scenarios!G10*$F$13*365/1000000+F36*95*0.22*365/1000000)-F46*F37*365/1000000-$F$18*(F34*95*$F$12*365/1000000+F35*Scenarios!G10*$F$13*365/1000000+F36*95*0.22*365/1000000))-F52),0)*$B$7-F56-$F$22*0.985^3*MAX(0.5,95/90)-$F$24)/(1+0.08)^3.5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+0.08)^4.5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+0.08)^5.5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+0.08)^6.5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B$18)/(0.08-$B$18))/(1+0.08)^6.5+-$B$8)*1000/$B$4</f>
        <v>235.1697456690103</v>
      </c>
      <c r="E92" s="42">
        <f>((((C34*95*$F$12*365/1000000+C35*Scenarios!D10*$F$13*365/1000000+C36*95*0.22*365/1000000)-C46*C37*365/1000000-$F$18*(C34*95*$F$12*365/1000000+C35*Scenarios!D10*$F$13*365/1000000+C36*95*0.22*365/1000000))-MAX((((C34*95*$F$12*365/1000000+C35*Scenarios!D10*$F$13*365/1000000+C36*95*0.22*365/1000000)-C46*C37*365/1000000-$F$18*(C34*95*$F$12*365/1000000+C35*Scenarios!D10*$F$13*365/1000000+C36*95*0.22*365/1000000))-C52),0)*$B$7-C56-$F$22*MAX(0.5,95/90)-$F$24)/(1+0.085)^0.5+(((D34*95*$F$12*365/1000000+D35*Scenarios!E10*$F$13*365/1000000+D36*95*0.22*365/1000000)-D46*D37*365/1000000-$F$18*(D34*95*$F$12*365/1000000+D35*Scenarios!E10*$F$13*365/1000000+D36*95*0.22*365/1000000))-MAX((((D34*95*$F$12*365/1000000+D35*Scenarios!E10*$F$13*365/1000000+D36*95*0.22*365/1000000)-D46*D37*365/1000000-$F$18*(D34*95*$F$12*365/1000000+D35*Scenarios!E10*$F$13*365/1000000+D36*95*0.22*365/1000000))-D52),0)*$B$7-D56-$F$22*0.985^1*MAX(0.5,95/90)-$F$24)/(1+0.085)^1.5+(((E34*95*$F$12*365/1000000+E35*Scenarios!F10*$F$13*365/1000000+E36*95*0.22*365/1000000)-E46*E37*365/1000000-$F$18*(E34*95*$F$12*365/1000000+E35*Scenarios!F10*$F$13*365/1000000+E36*95*0.22*365/1000000))-MAX((((E34*95*$F$12*365/1000000+E35*Scenarios!F10*$F$13*365/1000000+E36*95*0.22*365/1000000)-E46*E37*365/1000000-$F$18*(E34*95*$F$12*365/1000000+E35*Scenarios!F10*$F$13*365/1000000+E36*95*0.22*365/1000000))-E52),0)*$B$7-E56-$F$22*0.985^2*MAX(0.5,95/90)-$F$24)/(1+0.085)^2.5+(((F34*95*$F$12*365/1000000+F35*Scenarios!G10*$F$13*365/1000000+F36*95*0.22*365/1000000)-F46*F37*365/1000000-$F$18*(F34*95*$F$12*365/1000000+F35*Scenarios!G10*$F$13*365/1000000+F36*95*0.22*365/1000000))-MAX((((F34*95*$F$12*365/1000000+F35*Scenarios!G10*$F$13*365/1000000+F36*95*0.22*365/1000000)-F46*F37*365/1000000-$F$18*(F34*95*$F$12*365/1000000+F35*Scenarios!G10*$F$13*365/1000000+F36*95*0.22*365/1000000))-F52),0)*$B$7-F56-$F$22*0.985^3*MAX(0.5,95/90)-$F$24)/(1+0.085)^3.5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+0.085)^4.5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+0.085)^5.5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+0.085)^6.5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B$18)/(0.085-$B$18))/(1+0.085)^6.5+-$B$8)*1000/$B$4</f>
        <v>216.6847071615602</v>
      </c>
      <c r="F92" s="42">
        <f>((((C34*95*$F$12*365/1000000+C35*Scenarios!D10*$F$13*365/1000000+C36*95*0.22*365/1000000)-C46*C37*365/1000000-$F$18*(C34*95*$F$12*365/1000000+C35*Scenarios!D10*$F$13*365/1000000+C36*95*0.22*365/1000000))-MAX((((C34*95*$F$12*365/1000000+C35*Scenarios!D10*$F$13*365/1000000+C36*95*0.22*365/1000000)-C46*C37*365/1000000-$F$18*(C34*95*$F$12*365/1000000+C35*Scenarios!D10*$F$13*365/1000000+C36*95*0.22*365/1000000))-C52),0)*$B$7-C56-$F$22*MAX(0.5,95/90)-$F$24)/(1+0.09)^0.5+(((D34*95*$F$12*365/1000000+D35*Scenarios!E10*$F$13*365/1000000+D36*95*0.22*365/1000000)-D46*D37*365/1000000-$F$18*(D34*95*$F$12*365/1000000+D35*Scenarios!E10*$F$13*365/1000000+D36*95*0.22*365/1000000))-MAX((((D34*95*$F$12*365/1000000+D35*Scenarios!E10*$F$13*365/1000000+D36*95*0.22*365/1000000)-D46*D37*365/1000000-$F$18*(D34*95*$F$12*365/1000000+D35*Scenarios!E10*$F$13*365/1000000+D36*95*0.22*365/1000000))-D52),0)*$B$7-D56-$F$22*0.985^1*MAX(0.5,95/90)-$F$24)/(1+0.09)^1.5+(((E34*95*$F$12*365/1000000+E35*Scenarios!F10*$F$13*365/1000000+E36*95*0.22*365/1000000)-E46*E37*365/1000000-$F$18*(E34*95*$F$12*365/1000000+E35*Scenarios!F10*$F$13*365/1000000+E36*95*0.22*365/1000000))-MAX((((E34*95*$F$12*365/1000000+E35*Scenarios!F10*$F$13*365/1000000+E36*95*0.22*365/1000000)-E46*E37*365/1000000-$F$18*(E34*95*$F$12*365/1000000+E35*Scenarios!F10*$F$13*365/1000000+E36*95*0.22*365/1000000))-E52),0)*$B$7-E56-$F$22*0.985^2*MAX(0.5,95/90)-$F$24)/(1+0.09)^2.5+(((F34*95*$F$12*365/1000000+F35*Scenarios!G10*$F$13*365/1000000+F36*95*0.22*365/1000000)-F46*F37*365/1000000-$F$18*(F34*95*$F$12*365/1000000+F35*Scenarios!G10*$F$13*365/1000000+F36*95*0.22*365/1000000))-MAX((((F34*95*$F$12*365/1000000+F35*Scenarios!G10*$F$13*365/1000000+F36*95*0.22*365/1000000)-F46*F37*365/1000000-$F$18*(F34*95*$F$12*365/1000000+F35*Scenarios!G10*$F$13*365/1000000+F36*95*0.22*365/1000000))-F52),0)*$B$7-F56-$F$22*0.985^3*MAX(0.5,95/90)-$F$24)/(1+0.09)^3.5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+0.09)^4.5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+0.09)^5.5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+0.09)^6.5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B$18)/(0.09-$B$18))/(1+0.09)^6.5+-$B$8)*1000/$B$4</f>
        <v>200.84241993413497</v>
      </c>
      <c r="G92" s="42">
        <f>((((C34*95*$F$12*365/1000000+C35*Scenarios!D10*$F$13*365/1000000+C36*95*0.22*365/1000000)-C46*C37*365/1000000-$F$18*(C34*95*$F$12*365/1000000+C35*Scenarios!D10*$F$13*365/1000000+C36*95*0.22*365/1000000))-MAX((((C34*95*$F$12*365/1000000+C35*Scenarios!D10*$F$13*365/1000000+C36*95*0.22*365/1000000)-C46*C37*365/1000000-$F$18*(C34*95*$F$12*365/1000000+C35*Scenarios!D10*$F$13*365/1000000+C36*95*0.22*365/1000000))-C52),0)*$B$7-C56-$F$22*MAX(0.5,95/90)-$F$24)/(1+0.095)^0.5+(((D34*95*$F$12*365/1000000+D35*Scenarios!E10*$F$13*365/1000000+D36*95*0.22*365/1000000)-D46*D37*365/1000000-$F$18*(D34*95*$F$12*365/1000000+D35*Scenarios!E10*$F$13*365/1000000+D36*95*0.22*365/1000000))-MAX((((D34*95*$F$12*365/1000000+D35*Scenarios!E10*$F$13*365/1000000+D36*95*0.22*365/1000000)-D46*D37*365/1000000-$F$18*(D34*95*$F$12*365/1000000+D35*Scenarios!E10*$F$13*365/1000000+D36*95*0.22*365/1000000))-D52),0)*$B$7-D56-$F$22*0.985^1*MAX(0.5,95/90)-$F$24)/(1+0.095)^1.5+(((E34*95*$F$12*365/1000000+E35*Scenarios!F10*$F$13*365/1000000+E36*95*0.22*365/1000000)-E46*E37*365/1000000-$F$18*(E34*95*$F$12*365/1000000+E35*Scenarios!F10*$F$13*365/1000000+E36*95*0.22*365/1000000))-MAX((((E34*95*$F$12*365/1000000+E35*Scenarios!F10*$F$13*365/1000000+E36*95*0.22*365/1000000)-E46*E37*365/1000000-$F$18*(E34*95*$F$12*365/1000000+E35*Scenarios!F10*$F$13*365/1000000+E36*95*0.22*365/1000000))-E52),0)*$B$7-E56-$F$22*0.985^2*MAX(0.5,95/90)-$F$24)/(1+0.095)^2.5+(((F34*95*$F$12*365/1000000+F35*Scenarios!G10*$F$13*365/1000000+F36*95*0.22*365/1000000)-F46*F37*365/1000000-$F$18*(F34*95*$F$12*365/1000000+F35*Scenarios!G10*$F$13*365/1000000+F36*95*0.22*365/1000000))-MAX((((F34*95*$F$12*365/1000000+F35*Scenarios!G10*$F$13*365/1000000+F36*95*0.22*365/1000000)-F46*F37*365/1000000-$F$18*(F34*95*$F$12*365/1000000+F35*Scenarios!G10*$F$13*365/1000000+F36*95*0.22*365/1000000))-F52),0)*$B$7-F56-$F$22*0.985^3*MAX(0.5,95/90)-$F$24)/(1+0.095)^3.5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+0.095)^4.5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+0.095)^5.5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+0.095)^6.5+((((G34*95*$F$12*365/1000000+G35*Scenarios!H10*$F$13*365/1000000+G36*95*0.22*365/1000000)-G46*G37*365/1000000-$F$18*(G34*95*$F$12*365/1000000+G35*Scenarios!H10*$F$13*365/1000000+G36*95*0.22*365/1000000))-MAX((((G34*95*$F$12*365/1000000+G35*Scenarios!H10*$F$13*365/1000000+G36*95*0.22*365/1000000)-G46*G37*365/1000000-$F$18*(G34*95*$F$12*365/1000000+G35*Scenarios!H10*$F$13*365/1000000+G36*95*0.22*365/1000000))-G52),0)*$B$7-G56-$F$22*0.985^4*MAX(0.5,95/90)-$F$24)*1.025*1.02*(1+$B$18)/(0.095-$B$18))/(1+0.095)^6.5+-$B$8)*1000/$B$4</f>
        <v>187.11427938654049</v>
      </c>
      <c r="H92" s="25"/>
    </row>
    <row r="93" spans="1:14" x14ac:dyDescent="0.3">
      <c r="A93" s="62" t="s">
        <v>154</v>
      </c>
      <c r="B93" s="26"/>
      <c r="C93" s="42">
        <f>((((C34*100*$F$12*365/1000000+C35*Scenarios!D10*$F$13*365/1000000+C36*100*0.22*365/1000000)-C46*C37*365/1000000-$F$18*(C34*100*$F$12*365/1000000+C35*Scenarios!D10*$F$13*365/1000000+C36*100*0.22*365/1000000))-MAX((((C34*100*$F$12*365/1000000+C35*Scenarios!D10*$F$13*365/1000000+C36*100*0.22*365/1000000)-C46*C37*365/1000000-$F$18*(C34*100*$F$12*365/1000000+C35*Scenarios!D10*$F$13*365/1000000+C36*100*0.22*365/1000000))-C52),0)*$B$7-C56-$F$22*MAX(0.5,100/90)-$F$24)/(1+0.075)^0.5+(((D34*100*$F$12*365/1000000+D35*Scenarios!E10*$F$13*365/1000000+D36*100*0.22*365/1000000)-D46*D37*365/1000000-$F$18*(D34*100*$F$12*365/1000000+D35*Scenarios!E10*$F$13*365/1000000+D36*100*0.22*365/1000000))-MAX((((D34*100*$F$12*365/1000000+D35*Scenarios!E10*$F$13*365/1000000+D36*100*0.22*365/1000000)-D46*D37*365/1000000-$F$18*(D34*100*$F$12*365/1000000+D35*Scenarios!E10*$F$13*365/1000000+D36*100*0.22*365/1000000))-D52),0)*$B$7-D56-$F$22*0.985^1*MAX(0.5,100/90)-$F$24)/(1+0.075)^1.5+(((E34*100*$F$12*365/1000000+E35*Scenarios!F10*$F$13*365/1000000+E36*100*0.22*365/1000000)-E46*E37*365/1000000-$F$18*(E34*100*$F$12*365/1000000+E35*Scenarios!F10*$F$13*365/1000000+E36*100*0.22*365/1000000))-MAX((((E34*100*$F$12*365/1000000+E35*Scenarios!F10*$F$13*365/1000000+E36*100*0.22*365/1000000)-E46*E37*365/1000000-$F$18*(E34*100*$F$12*365/1000000+E35*Scenarios!F10*$F$13*365/1000000+E36*100*0.22*365/1000000))-E52),0)*$B$7-E56-$F$22*0.985^2*MAX(0.5,100/90)-$F$24)/(1+0.075)^2.5+(((F34*100*$F$12*365/1000000+F35*Scenarios!G10*$F$13*365/1000000+F36*100*0.22*365/1000000)-F46*F37*365/1000000-$F$18*(F34*100*$F$12*365/1000000+F35*Scenarios!G10*$F$13*365/1000000+F36*100*0.22*365/1000000))-MAX((((F34*100*$F$12*365/1000000+F35*Scenarios!G10*$F$13*365/1000000+F36*100*0.22*365/1000000)-F46*F37*365/1000000-$F$18*(F34*100*$F$12*365/1000000+F35*Scenarios!G10*$F$13*365/1000000+F36*100*0.22*365/1000000))-F52),0)*$B$7-F56-$F$22*0.985^3*MAX(0.5,100/90)-$F$24)/(1+0.075)^3.5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+0.075)^4.5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+0.075)^5.5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+0.075)^6.5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B$18)/(0.075-$B$18))/(1+0.075)^6.5+-$B$8)*1000/$B$4</f>
        <v>280.0173337824798</v>
      </c>
      <c r="D93" s="42">
        <f>((((C34*100*$F$12*365/1000000+C35*Scenarios!D10*$F$13*365/1000000+C36*100*0.22*365/1000000)-C46*C37*365/1000000-$F$18*(C34*100*$F$12*365/1000000+C35*Scenarios!D10*$F$13*365/1000000+C36*100*0.22*365/1000000))-MAX((((C34*100*$F$12*365/1000000+C35*Scenarios!D10*$F$13*365/1000000+C36*100*0.22*365/1000000)-C46*C37*365/1000000-$F$18*(C34*100*$F$12*365/1000000+C35*Scenarios!D10*$F$13*365/1000000+C36*100*0.22*365/1000000))-C52),0)*$B$7-C56-$F$22*MAX(0.5,100/90)-$F$24)/(1+0.08)^0.5+(((D34*100*$F$12*365/1000000+D35*Scenarios!E10*$F$13*365/1000000+D36*100*0.22*365/1000000)-D46*D37*365/1000000-$F$18*(D34*100*$F$12*365/1000000+D35*Scenarios!E10*$F$13*365/1000000+D36*100*0.22*365/1000000))-MAX((((D34*100*$F$12*365/1000000+D35*Scenarios!E10*$F$13*365/1000000+D36*100*0.22*365/1000000)-D46*D37*365/1000000-$F$18*(D34*100*$F$12*365/1000000+D35*Scenarios!E10*$F$13*365/1000000+D36*100*0.22*365/1000000))-D52),0)*$B$7-D56-$F$22*0.985^1*MAX(0.5,100/90)-$F$24)/(1+0.08)^1.5+(((E34*100*$F$12*365/1000000+E35*Scenarios!F10*$F$13*365/1000000+E36*100*0.22*365/1000000)-E46*E37*365/1000000-$F$18*(E34*100*$F$12*365/1000000+E35*Scenarios!F10*$F$13*365/1000000+E36*100*0.22*365/1000000))-MAX((((E34*100*$F$12*365/1000000+E35*Scenarios!F10*$F$13*365/1000000+E36*100*0.22*365/1000000)-E46*E37*365/1000000-$F$18*(E34*100*$F$12*365/1000000+E35*Scenarios!F10*$F$13*365/1000000+E36*100*0.22*365/1000000))-E52),0)*$B$7-E56-$F$22*0.985^2*MAX(0.5,100/90)-$F$24)/(1+0.08)^2.5+(((F34*100*$F$12*365/1000000+F35*Scenarios!G10*$F$13*365/1000000+F36*100*0.22*365/1000000)-F46*F37*365/1000000-$F$18*(F34*100*$F$12*365/1000000+F35*Scenarios!G10*$F$13*365/1000000+F36*100*0.22*365/1000000))-MAX((((F34*100*$F$12*365/1000000+F35*Scenarios!G10*$F$13*365/1000000+F36*100*0.22*365/1000000)-F46*F37*365/1000000-$F$18*(F34*100*$F$12*365/1000000+F35*Scenarios!G10*$F$13*365/1000000+F36*100*0.22*365/1000000))-F52),0)*$B$7-F56-$F$22*0.985^3*MAX(0.5,100/90)-$F$24)/(1+0.08)^3.5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+0.08)^4.5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+0.08)^5.5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+0.08)^6.5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B$18)/(0.08-$B$18))/(1+0.08)^6.5+-$B$8)*1000/$B$4</f>
        <v>256.2847788964657</v>
      </c>
      <c r="E93" s="42">
        <f>((((C34*100*$F$12*365/1000000+C35*Scenarios!D10*$F$13*365/1000000+C36*100*0.22*365/1000000)-C46*C37*365/1000000-$F$18*(C34*100*$F$12*365/1000000+C35*Scenarios!D10*$F$13*365/1000000+C36*100*0.22*365/1000000))-MAX((((C34*100*$F$12*365/1000000+C35*Scenarios!D10*$F$13*365/1000000+C36*100*0.22*365/1000000)-C46*C37*365/1000000-$F$18*(C34*100*$F$12*365/1000000+C35*Scenarios!D10*$F$13*365/1000000+C36*100*0.22*365/1000000))-C52),0)*$B$7-C56-$F$22*MAX(0.5,100/90)-$F$24)/(1+0.085)^0.5+(((D34*100*$F$12*365/1000000+D35*Scenarios!E10*$F$13*365/1000000+D36*100*0.22*365/1000000)-D46*D37*365/1000000-$F$18*(D34*100*$F$12*365/1000000+D35*Scenarios!E10*$F$13*365/1000000+D36*100*0.22*365/1000000))-MAX((((D34*100*$F$12*365/1000000+D35*Scenarios!E10*$F$13*365/1000000+D36*100*0.22*365/1000000)-D46*D37*365/1000000-$F$18*(D34*100*$F$12*365/1000000+D35*Scenarios!E10*$F$13*365/1000000+D36*100*0.22*365/1000000))-D52),0)*$B$7-D56-$F$22*0.985^1*MAX(0.5,100/90)-$F$24)/(1+0.085)^1.5+(((E34*100*$F$12*365/1000000+E35*Scenarios!F10*$F$13*365/1000000+E36*100*0.22*365/1000000)-E46*E37*365/1000000-$F$18*(E34*100*$F$12*365/1000000+E35*Scenarios!F10*$F$13*365/1000000+E36*100*0.22*365/1000000))-MAX((((E34*100*$F$12*365/1000000+E35*Scenarios!F10*$F$13*365/1000000+E36*100*0.22*365/1000000)-E46*E37*365/1000000-$F$18*(E34*100*$F$12*365/1000000+E35*Scenarios!F10*$F$13*365/1000000+E36*100*0.22*365/1000000))-E52),0)*$B$7-E56-$F$22*0.985^2*MAX(0.5,100/90)-$F$24)/(1+0.085)^2.5+(((F34*100*$F$12*365/1000000+F35*Scenarios!G10*$F$13*365/1000000+F36*100*0.22*365/1000000)-F46*F37*365/1000000-$F$18*(F34*100*$F$12*365/1000000+F35*Scenarios!G10*$F$13*365/1000000+F36*100*0.22*365/1000000))-MAX((((F34*100*$F$12*365/1000000+F35*Scenarios!G10*$F$13*365/1000000+F36*100*0.22*365/1000000)-F46*F37*365/1000000-$F$18*(F34*100*$F$12*365/1000000+F35*Scenarios!G10*$F$13*365/1000000+F36*100*0.22*365/1000000))-F52),0)*$B$7-F56-$F$22*0.985^3*MAX(0.5,100/90)-$F$24)/(1+0.085)^3.5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+0.085)^4.5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+0.085)^5.5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+0.085)^6.5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B$18)/(0.085-$B$18))/(1+0.085)^6.5+-$B$8)*1000/$B$4</f>
        <v>236.20572992165447</v>
      </c>
      <c r="F93" s="42">
        <f>((((C34*100*$F$12*365/1000000+C35*Scenarios!D10*$F$13*365/1000000+C36*100*0.22*365/1000000)-C46*C37*365/1000000-$F$18*(C34*100*$F$12*365/1000000+C35*Scenarios!D10*$F$13*365/1000000+C36*100*0.22*365/1000000))-MAX((((C34*100*$F$12*365/1000000+C35*Scenarios!D10*$F$13*365/1000000+C36*100*0.22*365/1000000)-C46*C37*365/1000000-$F$18*(C34*100*$F$12*365/1000000+C35*Scenarios!D10*$F$13*365/1000000+C36*100*0.22*365/1000000))-C52),0)*$B$7-C56-$F$22*MAX(0.5,100/90)-$F$24)/(1+0.09)^0.5+(((D34*100*$F$12*365/1000000+D35*Scenarios!E10*$F$13*365/1000000+D36*100*0.22*365/1000000)-D46*D37*365/1000000-$F$18*(D34*100*$F$12*365/1000000+D35*Scenarios!E10*$F$13*365/1000000+D36*100*0.22*365/1000000))-MAX((((D34*100*$F$12*365/1000000+D35*Scenarios!E10*$F$13*365/1000000+D36*100*0.22*365/1000000)-D46*D37*365/1000000-$F$18*(D34*100*$F$12*365/1000000+D35*Scenarios!E10*$F$13*365/1000000+D36*100*0.22*365/1000000))-D52),0)*$B$7-D56-$F$22*0.985^1*MAX(0.5,100/90)-$F$24)/(1+0.09)^1.5+(((E34*100*$F$12*365/1000000+E35*Scenarios!F10*$F$13*365/1000000+E36*100*0.22*365/1000000)-E46*E37*365/1000000-$F$18*(E34*100*$F$12*365/1000000+E35*Scenarios!F10*$F$13*365/1000000+E36*100*0.22*365/1000000))-MAX((((E34*100*$F$12*365/1000000+E35*Scenarios!F10*$F$13*365/1000000+E36*100*0.22*365/1000000)-E46*E37*365/1000000-$F$18*(E34*100*$F$12*365/1000000+E35*Scenarios!F10*$F$13*365/1000000+E36*100*0.22*365/1000000))-E52),0)*$B$7-E56-$F$22*0.985^2*MAX(0.5,100/90)-$F$24)/(1+0.09)^2.5+(((F34*100*$F$12*365/1000000+F35*Scenarios!G10*$F$13*365/1000000+F36*100*0.22*365/1000000)-F46*F37*365/1000000-$F$18*(F34*100*$F$12*365/1000000+F35*Scenarios!G10*$F$13*365/1000000+F36*100*0.22*365/1000000))-MAX((((F34*100*$F$12*365/1000000+F35*Scenarios!G10*$F$13*365/1000000+F36*100*0.22*365/1000000)-F46*F37*365/1000000-$F$18*(F34*100*$F$12*365/1000000+F35*Scenarios!G10*$F$13*365/1000000+F36*100*0.22*365/1000000))-F52),0)*$B$7-F56-$F$22*0.985^3*MAX(0.5,100/90)-$F$24)/(1+0.09)^3.5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+0.09)^4.5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+0.09)^5.5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+0.09)^6.5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B$18)/(0.09-$B$18))/(1+0.09)^6.5+-$B$8)*1000/$B$4</f>
        <v>218.99722952752532</v>
      </c>
      <c r="G93" s="42">
        <f>((((C34*100*$F$12*365/1000000+C35*Scenarios!D10*$F$13*365/1000000+C36*100*0.22*365/1000000)-C46*C37*365/1000000-$F$18*(C34*100*$F$12*365/1000000+C35*Scenarios!D10*$F$13*365/1000000+C36*100*0.22*365/1000000))-MAX((((C34*100*$F$12*365/1000000+C35*Scenarios!D10*$F$13*365/1000000+C36*100*0.22*365/1000000)-C46*C37*365/1000000-$F$18*(C34*100*$F$12*365/1000000+C35*Scenarios!D10*$F$13*365/1000000+C36*100*0.22*365/1000000))-C52),0)*$B$7-C56-$F$22*MAX(0.5,100/90)-$F$24)/(1+0.095)^0.5+(((D34*100*$F$12*365/1000000+D35*Scenarios!E10*$F$13*365/1000000+D36*100*0.22*365/1000000)-D46*D37*365/1000000-$F$18*(D34*100*$F$12*365/1000000+D35*Scenarios!E10*$F$13*365/1000000+D36*100*0.22*365/1000000))-MAX((((D34*100*$F$12*365/1000000+D35*Scenarios!E10*$F$13*365/1000000+D36*100*0.22*365/1000000)-D46*D37*365/1000000-$F$18*(D34*100*$F$12*365/1000000+D35*Scenarios!E10*$F$13*365/1000000+D36*100*0.22*365/1000000))-D52),0)*$B$7-D56-$F$22*0.985^1*MAX(0.5,100/90)-$F$24)/(1+0.095)^1.5+(((E34*100*$F$12*365/1000000+E35*Scenarios!F10*$F$13*365/1000000+E36*100*0.22*365/1000000)-E46*E37*365/1000000-$F$18*(E34*100*$F$12*365/1000000+E35*Scenarios!F10*$F$13*365/1000000+E36*100*0.22*365/1000000))-MAX((((E34*100*$F$12*365/1000000+E35*Scenarios!F10*$F$13*365/1000000+E36*100*0.22*365/1000000)-E46*E37*365/1000000-$F$18*(E34*100*$F$12*365/1000000+E35*Scenarios!F10*$F$13*365/1000000+E36*100*0.22*365/1000000))-E52),0)*$B$7-E56-$F$22*0.985^2*MAX(0.5,100/90)-$F$24)/(1+0.095)^2.5+(((F34*100*$F$12*365/1000000+F35*Scenarios!G10*$F$13*365/1000000+F36*100*0.22*365/1000000)-F46*F37*365/1000000-$F$18*(F34*100*$F$12*365/1000000+F35*Scenarios!G10*$F$13*365/1000000+F36*100*0.22*365/1000000))-MAX((((F34*100*$F$12*365/1000000+F35*Scenarios!G10*$F$13*365/1000000+F36*100*0.22*365/1000000)-F46*F37*365/1000000-$F$18*(F34*100*$F$12*365/1000000+F35*Scenarios!G10*$F$13*365/1000000+F36*100*0.22*365/1000000))-F52),0)*$B$7-F56-$F$22*0.985^3*MAX(0.5,100/90)-$F$24)/(1+0.095)^3.5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+0.095)^4.5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+0.095)^5.5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+0.095)^6.5+((((G34*100*$F$12*365/1000000+G35*Scenarios!H10*$F$13*365/1000000+G36*100*0.22*365/1000000)-G46*G37*365/1000000-$F$18*(G34*100*$F$12*365/1000000+G35*Scenarios!H10*$F$13*365/1000000+G36*100*0.22*365/1000000))-MAX((((G34*100*$F$12*365/1000000+G35*Scenarios!H10*$F$13*365/1000000+G36*100*0.22*365/1000000)-G46*G37*365/1000000-$F$18*(G34*100*$F$12*365/1000000+G35*Scenarios!H10*$F$13*365/1000000+G36*100*0.22*365/1000000))-G52),0)*$B$7-G56-$F$22*0.985^4*MAX(0.5,100/90)-$F$24)*1.025*1.02*(1+$B$18)/(0.095-$B$18))/(1+0.095)^6.5+-$B$8)*1000/$B$4</f>
        <v>204.08511071608075</v>
      </c>
      <c r="H93" s="25"/>
    </row>
    <row r="94" spans="1:14" x14ac:dyDescent="0.3">
      <c r="A94" s="23"/>
      <c r="B94" s="26"/>
      <c r="C94" s="26"/>
      <c r="D94" s="26"/>
      <c r="E94" s="26"/>
      <c r="F94" s="26"/>
      <c r="G94" s="26"/>
      <c r="H94" s="25"/>
    </row>
    <row r="95" spans="1:14" ht="22.05" customHeight="1" x14ac:dyDescent="0.3">
      <c r="A95" s="17" t="s">
        <v>167</v>
      </c>
      <c r="B95" s="60"/>
      <c r="C95" s="60"/>
      <c r="D95" s="60"/>
      <c r="E95" s="60"/>
      <c r="F95" s="60"/>
      <c r="G95" s="60"/>
      <c r="H95" s="15"/>
    </row>
    <row r="96" spans="1:14" ht="18" customHeight="1" x14ac:dyDescent="0.3">
      <c r="A96" s="24" t="s">
        <v>0</v>
      </c>
      <c r="B96" s="45" t="s">
        <v>158</v>
      </c>
      <c r="C96" s="45" t="s">
        <v>168</v>
      </c>
      <c r="D96" s="45" t="s">
        <v>156</v>
      </c>
      <c r="E96" s="45" t="s">
        <v>157</v>
      </c>
      <c r="F96" s="45" t="s">
        <v>169</v>
      </c>
      <c r="G96" s="45" t="s">
        <v>170</v>
      </c>
      <c r="H96" s="25"/>
      <c r="I96" s="16"/>
      <c r="J96" s="16"/>
      <c r="K96" s="16"/>
      <c r="L96" s="16"/>
      <c r="M96" s="16"/>
      <c r="N96" s="16"/>
    </row>
    <row r="97" spans="1:14" x14ac:dyDescent="0.3">
      <c r="A97" s="15" t="s">
        <v>56</v>
      </c>
      <c r="B97" s="53">
        <f>Scenarios!D5</f>
        <v>55</v>
      </c>
      <c r="C97" s="46">
        <f>B118</f>
        <v>1.574021649967891</v>
      </c>
      <c r="D97" s="54">
        <f>(B118/(1+$B$17)^0.5+C118/(1+$B$17)^1.5+D118/(1+$B$17)^2.5+E118/(1+$B$17)^3.5+F118/(1+$B$17)^4.5+G118/(1+$B$17)^5.5+H118/(1+$B$17)^6.5+(H118*(1+$B$18)/($B$17-$B$18))/(1+$B$17)^6.5-$B$8)*1000/$B$4</f>
        <v>64.5842232167426</v>
      </c>
      <c r="E97" s="54">
        <f>$E$111</f>
        <v>71.330446088750989</v>
      </c>
      <c r="F97" s="55">
        <f ca="1">(D97-Dashboard!$B$5)/Dashboard!$B$5</f>
        <v>-0.53446101624203413</v>
      </c>
      <c r="G97" s="56">
        <f>Scenarios!B19</f>
        <v>0.2</v>
      </c>
      <c r="H97" s="25"/>
    </row>
    <row r="98" spans="1:14" x14ac:dyDescent="0.3">
      <c r="A98" s="15" t="s">
        <v>54</v>
      </c>
      <c r="B98" s="53">
        <f>Scenarios!D3</f>
        <v>90</v>
      </c>
      <c r="C98" s="46">
        <f>B119</f>
        <v>6.1033836778665824</v>
      </c>
      <c r="D98" s="54">
        <f>(B119/(1+$B$17)^0.5+C119/(1+$B$17)^1.5+D119/(1+$B$17)^2.5+E119/(1+$B$17)^3.5+F119/(1+$B$17)^4.5+G119/(1+$B$17)^5.5+H119/(1+$B$17)^6.5+(H119*(1+$B$18)/($B$17-$B$18))/(1+$B$17)^6.5-$B$8)*1000/$B$4</f>
        <v>152.72698986802777</v>
      </c>
      <c r="E98" s="54">
        <f>$C$111</f>
        <v>150.79314383105802</v>
      </c>
      <c r="F98" s="55">
        <f ca="1">(D98-Dashboard!$B$5)/Dashboard!$B$5</f>
        <v>0.10089374949922715</v>
      </c>
      <c r="G98" s="56">
        <f>Scenarios!B17</f>
        <v>0.45</v>
      </c>
      <c r="H98" s="25"/>
    </row>
    <row r="99" spans="1:14" x14ac:dyDescent="0.3">
      <c r="A99" s="15" t="s">
        <v>127</v>
      </c>
      <c r="B99" s="53">
        <f>Scenarios!D6</f>
        <v>95</v>
      </c>
      <c r="C99" s="46">
        <f>B120</f>
        <v>6.9712842583383123</v>
      </c>
      <c r="D99" s="54">
        <f>(B120/(1+$B$17)^0.5+C120/(1+$B$17)^1.5+D120/(1+$B$17)^2.5+E120/(1+$B$17)^3.5+F120/(1+$B$17)^4.5+G120/(1+$B$17)^5.5+H120/(1+$B$17)^6.5+(H120*(1+$B$18)/($B$17-$B$18))/(1+$B$17)^6.5-$B$8)*1000/$B$4</f>
        <v>172.81922481371984</v>
      </c>
      <c r="E99" s="54">
        <f>$F$111</f>
        <v>165.10467695141497</v>
      </c>
      <c r="F99" s="55">
        <f ca="1">(D99-Dashboard!$B$5)/Dashboard!$B$5</f>
        <v>0.24572352637295361</v>
      </c>
      <c r="G99" s="56">
        <f>Scenarios!B20</f>
        <v>0.15</v>
      </c>
      <c r="H99" s="25"/>
    </row>
    <row r="100" spans="1:14" x14ac:dyDescent="0.3">
      <c r="A100" s="15" t="s">
        <v>55</v>
      </c>
      <c r="B100" s="53">
        <f>Scenarios!D4</f>
        <v>100</v>
      </c>
      <c r="C100" s="46">
        <f>B121</f>
        <v>7.710356335859756</v>
      </c>
      <c r="D100" s="54">
        <f>(B121/(1+$B$17)^0.5+C121/(1+$B$17)^1.5+D121/(1+$B$17)^2.5+E121/(1+$B$17)^3.5+F121/(1+$B$17)^4.5+G121/(1+$B$17)^5.5+H121/(1+$B$17)^6.5+(H121*(1+$B$18)/($B$17-$B$18))/(1+$B$17)^6.5-$B$8)*1000/$B$4</f>
        <v>196.42264432081865</v>
      </c>
      <c r="E100" s="54">
        <f>$D$111</f>
        <v>177.68970723008931</v>
      </c>
      <c r="F100" s="55">
        <f ca="1">(D100-Dashboard!$B$5)/Dashboard!$B$5</f>
        <v>0.41586278613723537</v>
      </c>
      <c r="G100" s="56">
        <f>Scenarios!B18</f>
        <v>0.2</v>
      </c>
      <c r="H100" s="25"/>
    </row>
    <row r="101" spans="1:14" ht="15" thickBot="1" x14ac:dyDescent="0.35">
      <c r="A101" s="75" t="s">
        <v>171</v>
      </c>
      <c r="B101" s="76"/>
      <c r="C101" s="76"/>
      <c r="D101" s="77">
        <f>D97*G97+D98*G98+D99*G99+D100*G100</f>
        <v>146.85140267018272</v>
      </c>
      <c r="E101" s="76"/>
      <c r="F101" s="76"/>
      <c r="G101" s="76"/>
      <c r="H101" s="25"/>
    </row>
    <row r="102" spans="1:14" ht="15" thickTop="1" x14ac:dyDescent="0.3">
      <c r="A102" s="15"/>
      <c r="B102" s="25"/>
      <c r="C102" s="25"/>
      <c r="D102" s="25"/>
      <c r="E102" s="25"/>
      <c r="F102" s="25"/>
      <c r="G102" s="25"/>
      <c r="H102" s="25"/>
      <c r="I102" s="6"/>
      <c r="J102" s="6"/>
      <c r="K102" s="6"/>
      <c r="L102" s="6"/>
      <c r="M102" s="6"/>
      <c r="N102" s="6"/>
    </row>
    <row r="103" spans="1:14" x14ac:dyDescent="0.3">
      <c r="A103" s="15"/>
      <c r="B103" s="25"/>
      <c r="C103" s="25"/>
      <c r="D103" s="25"/>
      <c r="E103" s="25"/>
      <c r="F103" s="25"/>
      <c r="G103" s="25"/>
      <c r="H103" s="25"/>
    </row>
    <row r="104" spans="1:14" ht="22.05" customHeight="1" x14ac:dyDescent="0.3">
      <c r="A104" s="17" t="s">
        <v>164</v>
      </c>
      <c r="B104" s="17"/>
      <c r="C104" s="17"/>
      <c r="D104" s="17"/>
      <c r="E104" s="17"/>
      <c r="F104" s="17"/>
      <c r="G104" s="17"/>
      <c r="H104" s="61"/>
    </row>
    <row r="105" spans="1:14" ht="18" customHeight="1" x14ac:dyDescent="0.3">
      <c r="A105" s="20" t="s">
        <v>16</v>
      </c>
      <c r="B105" s="39"/>
      <c r="C105" s="39" t="s">
        <v>54</v>
      </c>
      <c r="D105" s="39" t="s">
        <v>55</v>
      </c>
      <c r="E105" s="39" t="s">
        <v>56</v>
      </c>
      <c r="F105" s="39" t="s">
        <v>127</v>
      </c>
      <c r="G105" s="26"/>
      <c r="H105" s="25"/>
    </row>
    <row r="106" spans="1:14" x14ac:dyDescent="0.3">
      <c r="A106" s="18" t="s">
        <v>146</v>
      </c>
      <c r="B106" s="26"/>
      <c r="C106" s="42">
        <f>(C34*Scenarios!D3*$F$12*365/1000000+C35*Scenarios!D10*$F$13*365/1000000+C36*Scenarios!D3*0.22*365/1000000)-(C46*C37*365/1000000+$F$18*(C34*Scenarios!D3*$F$12*365/1000000+C35*Scenarios!D10*$F$13*365/1000000+C36*Scenarios!D3*0.22*365/1000000))</f>
        <v>15.630599576140241</v>
      </c>
      <c r="D106" s="42">
        <f>(C34*Scenarios!D4*$F$12*365/1000000+C35*Scenarios!D11*$F$13*365/1000000+C36*Scenarios!D4*0.22*365/1000000)-(C46*C37*365/1000000+$F$18*(C34*Scenarios!D4*$F$12*365/1000000+C35*Scenarios!D11*$F$13*365/1000000+C36*Scenarios!D4*0.22*365/1000000))</f>
        <v>18.271353073499679</v>
      </c>
      <c r="E106" s="42">
        <f>(C34*Scenarios!D5*$F$12*365/1000000+C35*Scenarios!D12*$F$13*365/1000000+C36*Scenarios!D5*0.22*365/1000000)-(C46*C37*365/1000000+$F$18*(C34*Scenarios!D5*$F$12*365/1000000+C35*Scenarios!D12*$F$13*365/1000000+C36*Scenarios!D5*0.22*365/1000000))</f>
        <v>7.8288074341682785</v>
      </c>
      <c r="F106" s="42">
        <f>(C34*Scenarios!D6*$F$12*365/1000000+C35*Scenarios!D13*$F$13*365/1000000+C36*Scenarios!D6*0.22*365/1000000)-(C46*C37*365/1000000+$F$18*(C34*Scenarios!D6*$F$12*365/1000000+C35*Scenarios!D13*$F$13*365/1000000+C36*Scenarios!D6*0.22*365/1000000))</f>
        <v>17.035731918866201</v>
      </c>
      <c r="G106" s="26"/>
      <c r="H106" s="25"/>
    </row>
    <row r="107" spans="1:14" x14ac:dyDescent="0.3">
      <c r="A107" s="18" t="s">
        <v>147</v>
      </c>
      <c r="B107" s="26"/>
      <c r="C107" s="57">
        <v>5.5</v>
      </c>
      <c r="D107" s="57">
        <f>C107</f>
        <v>5.5</v>
      </c>
      <c r="E107" s="57">
        <f>C107</f>
        <v>5.5</v>
      </c>
      <c r="F107" s="57">
        <f>C107</f>
        <v>5.5</v>
      </c>
      <c r="G107" s="26"/>
      <c r="H107" s="25"/>
    </row>
    <row r="108" spans="1:14" x14ac:dyDescent="0.3">
      <c r="A108" s="18" t="s">
        <v>148</v>
      </c>
      <c r="B108" s="26"/>
      <c r="C108" s="42">
        <f>C106*C107</f>
        <v>85.968297668771328</v>
      </c>
      <c r="D108" s="42">
        <f>D106*D107</f>
        <v>100.49244190424824</v>
      </c>
      <c r="E108" s="42">
        <f>E106*E107</f>
        <v>43.058440887925535</v>
      </c>
      <c r="F108" s="42">
        <f>F106*F107</f>
        <v>93.696525553764104</v>
      </c>
      <c r="G108" s="26"/>
      <c r="H108" s="25"/>
    </row>
    <row r="109" spans="1:14" x14ac:dyDescent="0.3">
      <c r="A109" s="18" t="s">
        <v>38</v>
      </c>
      <c r="B109" s="26"/>
      <c r="C109" s="42">
        <f>-$B$8</f>
        <v>-4.5400000000000009</v>
      </c>
      <c r="D109" s="42">
        <f>-$B$8</f>
        <v>-4.5400000000000009</v>
      </c>
      <c r="E109" s="42">
        <f>-$B$8</f>
        <v>-4.5400000000000009</v>
      </c>
      <c r="F109" s="42">
        <f>-$B$8</f>
        <v>-4.5400000000000009</v>
      </c>
      <c r="G109" s="26"/>
      <c r="H109" s="25"/>
    </row>
    <row r="110" spans="1:14" x14ac:dyDescent="0.3">
      <c r="A110" s="18" t="s">
        <v>149</v>
      </c>
      <c r="B110" s="26"/>
      <c r="C110" s="42">
        <f>C108+C109</f>
        <v>81.428297668771322</v>
      </c>
      <c r="D110" s="42">
        <f>D108+D109</f>
        <v>95.952441904248232</v>
      </c>
      <c r="E110" s="42">
        <f>E108+E109</f>
        <v>38.518440887925536</v>
      </c>
      <c r="F110" s="42">
        <f>F108+F109</f>
        <v>89.156525553764098</v>
      </c>
      <c r="G110" s="26"/>
      <c r="H110" s="25"/>
    </row>
    <row r="111" spans="1:14" x14ac:dyDescent="0.3">
      <c r="A111" s="21" t="s">
        <v>150</v>
      </c>
      <c r="B111" s="58"/>
      <c r="C111" s="59">
        <f>C110*1000/$B$4</f>
        <v>150.79314383105802</v>
      </c>
      <c r="D111" s="59">
        <f>D110*1000/$B$4</f>
        <v>177.68970723008931</v>
      </c>
      <c r="E111" s="59">
        <f>E110*1000/$B$4</f>
        <v>71.330446088750989</v>
      </c>
      <c r="F111" s="59">
        <f>F110*1000/$B$4</f>
        <v>165.10467695141497</v>
      </c>
      <c r="G111" s="26"/>
      <c r="H111" s="25"/>
    </row>
    <row r="112" spans="1:14" x14ac:dyDescent="0.3">
      <c r="A112" s="21" t="s">
        <v>151</v>
      </c>
      <c r="B112" s="58"/>
      <c r="C112" s="59">
        <f>D98</f>
        <v>152.72698986802777</v>
      </c>
      <c r="D112" s="59">
        <f>D100</f>
        <v>196.42264432081865</v>
      </c>
      <c r="E112" s="59">
        <f>D97</f>
        <v>64.5842232167426</v>
      </c>
      <c r="F112" s="59">
        <f>D99</f>
        <v>172.81922481371984</v>
      </c>
      <c r="G112" s="26"/>
      <c r="H112" s="25"/>
    </row>
    <row r="113" spans="1:8" x14ac:dyDescent="0.3">
      <c r="A113" s="18" t="s">
        <v>152</v>
      </c>
      <c r="B113" s="26"/>
      <c r="C113" s="44">
        <f>C111/C112-1</f>
        <v>-1.266211059774569E-2</v>
      </c>
      <c r="D113" s="44">
        <f>D111/D112-1</f>
        <v>-9.5370557480799811E-2</v>
      </c>
      <c r="E113" s="44">
        <f>E111/E112-1</f>
        <v>0.10445620518448107</v>
      </c>
      <c r="F113" s="44">
        <f>F111/F112-1</f>
        <v>-4.4639407858820701E-2</v>
      </c>
      <c r="G113" s="26"/>
      <c r="H113" s="25"/>
    </row>
    <row r="114" spans="1:8" x14ac:dyDescent="0.3">
      <c r="A114" s="18"/>
      <c r="B114" s="26"/>
      <c r="C114" s="26"/>
      <c r="D114" s="26"/>
      <c r="E114" s="26"/>
      <c r="F114" s="26"/>
      <c r="G114" s="26"/>
      <c r="H114" s="25"/>
    </row>
    <row r="115" spans="1:8" x14ac:dyDescent="0.3">
      <c r="A115" s="18"/>
      <c r="B115" s="26"/>
      <c r="C115" s="26"/>
      <c r="D115" s="26"/>
      <c r="E115" s="26"/>
      <c r="F115" s="26"/>
      <c r="G115" s="26"/>
      <c r="H115" s="25"/>
    </row>
    <row r="116" spans="1:8" ht="13.95" customHeight="1" x14ac:dyDescent="0.3">
      <c r="A116" s="63" t="s">
        <v>172</v>
      </c>
      <c r="B116" s="64"/>
      <c r="C116" s="64"/>
      <c r="D116" s="64"/>
      <c r="E116" s="64"/>
      <c r="F116" s="64"/>
      <c r="G116" s="64"/>
      <c r="H116" s="65"/>
    </row>
    <row r="117" spans="1:8" ht="13.95" customHeight="1" x14ac:dyDescent="0.3">
      <c r="A117" s="66" t="s">
        <v>0</v>
      </c>
      <c r="B117" s="67" t="s">
        <v>173</v>
      </c>
      <c r="C117" s="67" t="s">
        <v>174</v>
      </c>
      <c r="D117" s="67" t="s">
        <v>175</v>
      </c>
      <c r="E117" s="67" t="s">
        <v>176</v>
      </c>
      <c r="F117" s="67" t="s">
        <v>177</v>
      </c>
      <c r="G117" s="67" t="s">
        <v>178</v>
      </c>
      <c r="H117" s="68" t="s">
        <v>179</v>
      </c>
    </row>
    <row r="118" spans="1:8" ht="13.95" customHeight="1" x14ac:dyDescent="0.3">
      <c r="A118" s="69" t="s">
        <v>56</v>
      </c>
      <c r="B118" s="70">
        <f>(((C34*Scenarios!D5*$F$12*365/1000000+C35*Scenarios!D12*$F$13*365/1000000+C36*Scenarios!D5*0.22*365/1000000)-C46*C37*365/1000000-$F$18*(C34*Scenarios!D5*$F$12*365/1000000+C35*Scenarios!D12*$F$13*365/1000000+C36*Scenarios!D5*0.22*365/1000000))-MAX((((C34*Scenarios!D5*$F$12*365/1000000+C35*Scenarios!D12*$F$13*365/1000000+C36*Scenarios!D5*0.22*365/1000000)-C46*C37*365/1000000-$F$18*(C34*Scenarios!D5*$F$12*365/1000000+C35*Scenarios!D12*$F$13*365/1000000+C36*Scenarios!D5*0.22*365/1000000))-C52),0)*$B$7)-C56-$F$22*MAX(0.5,Scenarios!D5/90)-$F$24</f>
        <v>1.574021649967891</v>
      </c>
      <c r="C118" s="70">
        <f>(((D34*Scenarios!E5*$F$12*365/1000000+D35*Scenarios!E12*$F$13*365/1000000+D36*Scenarios!E5*0.22*365/1000000)-D46*D37*365/1000000-$F$18*(D34*Scenarios!E5*$F$12*365/1000000+D35*Scenarios!E12*$F$13*365/1000000+D36*Scenarios!E5*0.22*365/1000000))-MAX((((D34*Scenarios!E5*$F$12*365/1000000+D35*Scenarios!E12*$F$13*365/1000000+D36*Scenarios!E5*0.22*365/1000000)-D46*D37*365/1000000-$F$18*(D34*Scenarios!E5*$F$12*365/1000000+D35*Scenarios!E12*$F$13*365/1000000+D36*Scenarios!E5*0.22*365/1000000))-D52),0)*$B$7)-D56-$F$22*0.985^1*MAX(0.5,Scenarios!E5/90)-$F$24</f>
        <v>1.6193593015864371</v>
      </c>
      <c r="D118" s="70">
        <f>(((E34*Scenarios!F5*$F$12*365/1000000+E35*Scenarios!F12*$F$13*365/1000000+E36*Scenarios!F5*0.22*365/1000000)-E46*E37*365/1000000-$F$18*(E34*Scenarios!F5*$F$12*365/1000000+E35*Scenarios!F12*$F$13*365/1000000+E36*Scenarios!F5*0.22*365/1000000))-MAX((((E34*Scenarios!F5*$F$12*365/1000000+E35*Scenarios!F12*$F$13*365/1000000+E36*Scenarios!F5*0.22*365/1000000)-E46*E37*365/1000000-$F$18*(E34*Scenarios!F5*$F$12*365/1000000+E35*Scenarios!F12*$F$13*365/1000000+E36*Scenarios!F5*0.22*365/1000000))-E52),0)*$B$7)-E56-$F$22*0.985^2*MAX(0.5,Scenarios!F5/90)-$F$24</f>
        <v>2.1956204557713903</v>
      </c>
      <c r="E118" s="70">
        <f>(((F34*Scenarios!G5*$F$12*365/1000000+F35*Scenarios!G12*$F$13*365/1000000+F36*Scenarios!G5*0.22*365/1000000)-F46*F37*365/1000000-$F$18*(F34*Scenarios!G5*$F$12*365/1000000+F35*Scenarios!G12*$F$13*365/1000000+F36*Scenarios!G5*0.22*365/1000000))-MAX((((F34*Scenarios!G5*$F$12*365/1000000+F35*Scenarios!G12*$F$13*365/1000000+F36*Scenarios!G5*0.22*365/1000000)-F46*F37*365/1000000-$F$18*(F34*Scenarios!G5*$F$12*365/1000000+F35*Scenarios!G12*$F$13*365/1000000+F36*Scenarios!G5*0.22*365/1000000))-F52),0)*$B$7)-F56-$F$22*0.985^3*MAX(0.5,Scenarios!G5/90)-$F$24</f>
        <v>2.6696097127296339</v>
      </c>
      <c r="F118" s="70">
        <f>(((G34*Scenarios!H5*$F$12*365/1000000+G35*Scenarios!H12*$F$13*365/1000000+G36*Scenarios!H5*0.22*365/1000000)-G46*G37*365/1000000-$F$18*(G34*Scenarios!H5*$F$12*365/1000000+G35*Scenarios!H12*$F$13*365/1000000+G36*Scenarios!H5*0.22*365/1000000))-MAX((((G34*Scenarios!H5*$F$12*365/1000000+G35*Scenarios!H12*$F$13*365/1000000+G36*Scenarios!H5*0.22*365/1000000)-G46*G37*365/1000000-$F$18*(G34*Scenarios!H5*$F$12*365/1000000+G35*Scenarios!H12*$F$13*365/1000000+G36*Scenarios!H5*0.22*365/1000000))-G52),0)*$B$7)-G56-$F$22*0.985^4*MAX(0.5,Scenarios!H5/90)-$F$24</f>
        <v>3.0557155217917154</v>
      </c>
      <c r="G118" s="71">
        <f>F118*1.025</f>
        <v>3.132108409836508</v>
      </c>
      <c r="H118" s="72">
        <f>G118*1.02</f>
        <v>3.1947505780332381</v>
      </c>
    </row>
    <row r="119" spans="1:8" ht="13.95" customHeight="1" x14ac:dyDescent="0.3">
      <c r="A119" s="69" t="s">
        <v>54</v>
      </c>
      <c r="B119" s="70">
        <f>(((C34*Scenarios!D3*$F$12*365/1000000+C35*Scenarios!D10*$F$13*365/1000000+C36*Scenarios!D3*0.22*365/1000000)-C46*C37*365/1000000-$F$18*(C34*Scenarios!D3*$F$12*365/1000000+C35*Scenarios!D10*$F$13*365/1000000+C36*Scenarios!D3*0.22*365/1000000))-MAX((((C34*Scenarios!D3*$F$12*365/1000000+C35*Scenarios!D10*$F$13*365/1000000+C36*Scenarios!D3*0.22*365/1000000)-C46*C37*365/1000000-$F$18*(C34*Scenarios!D3*$F$12*365/1000000+C35*Scenarios!D10*$F$13*365/1000000+C36*Scenarios!D3*0.22*365/1000000))-C52),0)*$B$7)-C56-$F$22*MAX(0.5,Scenarios!D3/90)-$F$24</f>
        <v>6.1033836778665824</v>
      </c>
      <c r="C119" s="70">
        <f>(((D34*Scenarios!E3*$F$12*365/1000000+D35*Scenarios!E10*$F$13*365/1000000+D36*Scenarios!E3*0.22*365/1000000)-D46*D37*365/1000000-$F$18*(D34*Scenarios!E3*$F$12*365/1000000+D35*Scenarios!E10*$F$13*365/1000000+D36*Scenarios!E3*0.22*365/1000000))-MAX((((D34*Scenarios!E3*$F$12*365/1000000+D35*Scenarios!E10*$F$13*365/1000000+D36*Scenarios!E3*0.22*365/1000000)-D46*D37*365/1000000-$F$18*(D34*Scenarios!E3*$F$12*365/1000000+D35*Scenarios!E10*$F$13*365/1000000+D36*Scenarios!E3*0.22*365/1000000))-D52),0)*$B$7)-D56-$F$22*0.985^1*MAX(0.5,Scenarios!E3/90)-$F$24</f>
        <v>6.1885445672301307</v>
      </c>
      <c r="D119" s="70">
        <f>(((E34*Scenarios!F3*$F$12*365/1000000+E35*Scenarios!F10*$F$13*365/1000000+E36*Scenarios!F3*0.22*365/1000000)-E46*E37*365/1000000-$F$18*(E34*Scenarios!F3*$F$12*365/1000000+E35*Scenarios!F10*$F$13*365/1000000+E36*Scenarios!F3*0.22*365/1000000))-MAX((((E34*Scenarios!F3*$F$12*365/1000000+E35*Scenarios!F10*$F$13*365/1000000+E36*Scenarios!F3*0.22*365/1000000)-E46*E37*365/1000000-$F$18*(E34*Scenarios!F3*$F$12*365/1000000+E35*Scenarios!F10*$F$13*365/1000000+E36*Scenarios!F3*0.22*365/1000000))-E52),0)*$B$7)-E56-$F$22*0.985^2*MAX(0.5,Scenarios!F3/90)-$F$24</f>
        <v>6.2534339078662002</v>
      </c>
      <c r="E119" s="70">
        <f>(((F34*Scenarios!G3*$F$12*365/1000000+F35*Scenarios!G10*$F$13*365/1000000+F36*Scenarios!G3*0.22*365/1000000)-F46*F37*365/1000000-$F$18*(F34*Scenarios!G3*$F$12*365/1000000+F35*Scenarios!G10*$F$13*365/1000000+F36*Scenarios!G3*0.22*365/1000000))-MAX((((F34*Scenarios!G3*$F$12*365/1000000+F35*Scenarios!G10*$F$13*365/1000000+F36*Scenarios!G3*0.22*365/1000000)-F46*F37*365/1000000-$F$18*(F34*Scenarios!G3*$F$12*365/1000000+F35*Scenarios!G10*$F$13*365/1000000+F36*Scenarios!G3*0.22*365/1000000))-F52),0)*$B$7)-F56-$F$22*0.985^3*MAX(0.5,Scenarios!G3/90)-$F$24</f>
        <v>6.2970451148493982</v>
      </c>
      <c r="F119" s="70">
        <f>(((G34*Scenarios!H3*$F$12*365/1000000+G35*Scenarios!H10*$F$13*365/1000000+G36*Scenarios!H3*0.22*365/1000000)-G46*G37*365/1000000-$F$18*(G34*Scenarios!H3*$F$12*365/1000000+G35*Scenarios!H10*$F$13*365/1000000+G36*Scenarios!H3*0.22*365/1000000))-MAX((((G34*Scenarios!H3*$F$12*365/1000000+G35*Scenarios!H10*$F$13*365/1000000+G36*Scenarios!H3*0.22*365/1000000)-G46*G37*365/1000000-$F$18*(G34*Scenarios!H3*$F$12*365/1000000+G35*Scenarios!H10*$F$13*365/1000000+G36*Scenarios!H3*0.22*365/1000000))-G52),0)*$B$7)-G56-$F$22*0.985^4*MAX(0.5,Scenarios!H3/90)-$F$24</f>
        <v>6.1621727675782436</v>
      </c>
      <c r="G119" s="71">
        <f>F119*1.025</f>
        <v>6.3162270867676993</v>
      </c>
      <c r="H119" s="72">
        <f>G119*1.02</f>
        <v>6.4425516285030531</v>
      </c>
    </row>
    <row r="120" spans="1:8" ht="13.95" customHeight="1" x14ac:dyDescent="0.3">
      <c r="A120" s="69" t="s">
        <v>127</v>
      </c>
      <c r="B120" s="70">
        <f>(((C34*Scenarios!D6*$F$12*365/1000000+C35*Scenarios!D13*$F$13*365/1000000+C36*Scenarios!D6*0.22*365/1000000)-C46*C37*365/1000000-$F$18*(C34*Scenarios!D6*$F$12*365/1000000+C35*Scenarios!D13*$F$13*365/1000000+C36*Scenarios!D6*0.22*365/1000000))-MAX((((C34*Scenarios!D6*$F$12*365/1000000+C35*Scenarios!D13*$F$13*365/1000000+C36*Scenarios!D6*0.22*365/1000000)-C46*C37*365/1000000-$F$18*(C34*Scenarios!D6*$F$12*365/1000000+C35*Scenarios!D13*$F$13*365/1000000+C36*Scenarios!D6*0.22*365/1000000))-C52),0)*$B$7)-C56-$F$22*MAX(0.5,Scenarios!D6/90)-$F$24</f>
        <v>6.9712842583383123</v>
      </c>
      <c r="C120" s="70">
        <f>(((D34*Scenarios!E6*$F$12*365/1000000+D35*Scenarios!E13*$F$13*365/1000000+D36*Scenarios!E6*0.22*365/1000000)-D46*D37*365/1000000-$F$18*(D34*Scenarios!E6*$F$12*365/1000000+D35*Scenarios!E13*$F$13*365/1000000+D36*Scenarios!E6*0.22*365/1000000))-MAX((((D34*Scenarios!E6*$F$12*365/1000000+D35*Scenarios!E13*$F$13*365/1000000+D36*Scenarios!E6*0.22*365/1000000)-D46*D37*365/1000000-$F$18*(D34*Scenarios!E6*$F$12*365/1000000+D35*Scenarios!E13*$F$13*365/1000000+D36*Scenarios!E6*0.22*365/1000000))-D52),0)*$B$7)-D56-$F$22*0.985^1*MAX(0.5,Scenarios!E6/90)-$F$24</f>
        <v>7.1421512086233054</v>
      </c>
      <c r="D120" s="70">
        <f>(((E34*Scenarios!F6*$F$12*365/1000000+E35*Scenarios!F13*$F$13*365/1000000+E36*Scenarios!F6*0.22*365/1000000)-E46*E37*365/1000000-$F$18*(E34*Scenarios!F6*$F$12*365/1000000+E35*Scenarios!F13*$F$13*365/1000000+E36*Scenarios!F6*0.22*365/1000000))-MAX((((E34*Scenarios!F6*$F$12*365/1000000+E35*Scenarios!F13*$F$13*365/1000000+E36*Scenarios!F6*0.22*365/1000000)-E46*E37*365/1000000-$F$18*(E34*Scenarios!F6*$F$12*365/1000000+E35*Scenarios!F13*$F$13*365/1000000+E36*Scenarios!F6*0.22*365/1000000))-E52),0)*$B$7)-E56-$F$22*0.985^2*MAX(0.5,Scenarios!F6/90)-$F$24</f>
        <v>7.2983817201447136</v>
      </c>
      <c r="E120" s="70">
        <f>(((F34*Scenarios!G6*$F$12*365/1000000+F35*Scenarios!G13*$F$13*365/1000000+F36*Scenarios!G6*0.22*365/1000000)-F46*F37*365/1000000-$F$18*(F34*Scenarios!G6*$F$12*365/1000000+F35*Scenarios!G13*$F$13*365/1000000+F36*Scenarios!G6*0.22*365/1000000))-MAX((((F34*Scenarios!G6*$F$12*365/1000000+F35*Scenarios!G13*$F$13*365/1000000+F36*Scenarios!G6*0.22*365/1000000)-F46*F37*365/1000000-$F$18*(F34*Scenarios!G6*$F$12*365/1000000+F35*Scenarios!G13*$F$13*365/1000000+F36*Scenarios!G6*0.22*365/1000000))-F52),0)*$B$7)-F56-$F$22*0.985^3*MAX(0.5,Scenarios!G6/90)-$F$24</f>
        <v>7.1909972737358041</v>
      </c>
      <c r="F120" s="70">
        <f>(((G34*Scenarios!H6*$F$12*365/1000000+G35*Scenarios!H13*$F$13*365/1000000+G36*Scenarios!H6*0.22*365/1000000)-G46*G37*365/1000000-$F$18*(G34*Scenarios!H6*$F$12*365/1000000+G35*Scenarios!H13*$F$13*365/1000000+G36*Scenarios!H6*0.22*365/1000000))-MAX((((G34*Scenarios!H6*$F$12*365/1000000+G35*Scenarios!H13*$F$13*365/1000000+G36*Scenarios!H6*0.22*365/1000000)-G46*G37*365/1000000-$F$18*(G34*Scenarios!H6*$F$12*365/1000000+G35*Scenarios!H13*$F$13*365/1000000+G36*Scenarios!H6*0.22*365/1000000))-G52),0)*$B$7)-G56-$F$22*0.985^4*MAX(0.5,Scenarios!H6/90)-$F$24</f>
        <v>6.8785528513191343</v>
      </c>
      <c r="G120" s="71">
        <f>F120*1.025</f>
        <v>7.0505166726021118</v>
      </c>
      <c r="H120" s="72">
        <f>G120*1.02</f>
        <v>7.1915270060541543</v>
      </c>
    </row>
    <row r="121" spans="1:8" ht="13.95" customHeight="1" x14ac:dyDescent="0.3">
      <c r="A121" s="69" t="s">
        <v>55</v>
      </c>
      <c r="B121" s="70">
        <f>(((C34*Scenarios!D4*$F$12*365/1000000+C35*Scenarios!D11*$F$13*365/1000000+C36*Scenarios!D4*0.22*365/1000000)-C46*C37*365/1000000-$F$18*(C34*Scenarios!D4*$F$12*365/1000000+C35*Scenarios!D11*$F$13*365/1000000+C36*Scenarios!D4*0.22*365/1000000))-MAX((((C34*Scenarios!D4*$F$12*365/1000000+C35*Scenarios!D11*$F$13*365/1000000+C36*Scenarios!D4*0.22*365/1000000)-C46*C37*365/1000000-$F$18*(C34*Scenarios!D4*$F$12*365/1000000+C35*Scenarios!D11*$F$13*365/1000000+C36*Scenarios!D4*0.22*365/1000000))-C52),0)*$B$7)-C56-$F$22*MAX(0.5,Scenarios!D4/90)-$F$24</f>
        <v>7.710356335859756</v>
      </c>
      <c r="C121" s="70">
        <f>(((D34*Scenarios!E4*$F$12*365/1000000+D35*Scenarios!E11*$F$13*365/1000000+D36*Scenarios!E4*0.22*365/1000000)-D46*D37*365/1000000-$F$18*(D34*Scenarios!E4*$F$12*365/1000000+D35*Scenarios!E11*$F$13*365/1000000+D36*Scenarios!E4*0.22*365/1000000))-MAX((((D34*Scenarios!E4*$F$12*365/1000000+D35*Scenarios!E11*$F$13*365/1000000+D36*Scenarios!E4*0.22*365/1000000)-D46*D37*365/1000000-$F$18*(D34*Scenarios!E4*$F$12*365/1000000+D35*Scenarios!E11*$F$13*365/1000000+D36*Scenarios!E4*0.22*365/1000000))-D52),0)*$B$7)-D56-$F$22*0.985^1*MAX(0.5,Scenarios!E4/90)-$F$24</f>
        <v>7.9209443570436244</v>
      </c>
      <c r="D121" s="70">
        <f>(((E34*Scenarios!F4*$F$12*365/1000000+E35*Scenarios!F11*$F$13*365/1000000+E36*Scenarios!F4*0.22*365/1000000)-E46*E37*365/1000000-$F$18*(E34*Scenarios!F4*$F$12*365/1000000+E35*Scenarios!F11*$F$13*365/1000000+E36*Scenarios!F4*0.22*365/1000000))-MAX((((E34*Scenarios!F4*$F$12*365/1000000+E35*Scenarios!F11*$F$13*365/1000000+E36*Scenarios!F4*0.22*365/1000000)-E46*E37*365/1000000-$F$18*(E34*Scenarios!F4*$F$12*365/1000000+E35*Scenarios!F11*$F$13*365/1000000+E36*Scenarios!F4*0.22*365/1000000))-E52),0)*$B$7)-E56-$F$22*0.985^2*MAX(0.5,Scenarios!F4/90)-$F$24</f>
        <v>8.1111310189895747</v>
      </c>
      <c r="E121" s="70">
        <f>(((F34*Scenarios!G4*$F$12*365/1000000+F35*Scenarios!G11*$F$13*365/1000000+F36*Scenarios!G4*0.22*365/1000000)-F46*F37*365/1000000-$F$18*(F34*Scenarios!G4*$F$12*365/1000000+F35*Scenarios!G11*$F$13*365/1000000+F36*Scenarios!G4*0.22*365/1000000))-MAX((((F34*Scenarios!G4*$F$12*365/1000000+F35*Scenarios!G11*$F$13*365/1000000+F36*Scenarios!G4*0.22*365/1000000)-F46*F37*365/1000000-$F$18*(F34*Scenarios!G4*$F$12*365/1000000+F35*Scenarios!G11*$F$13*365/1000000+F36*Scenarios!G4*0.22*365/1000000))-F52),0)*$B$7)-F56-$F$22*0.985^3*MAX(0.5,Scenarios!G4/90)-$F$24</f>
        <v>8.0025264054711656</v>
      </c>
      <c r="F121" s="70">
        <f>(((G34*Scenarios!H4*$F$12*365/1000000+G35*Scenarios!H11*$F$13*365/1000000+G36*Scenarios!H4*0.22*365/1000000)-G46*G37*365/1000000-$F$18*(G34*Scenarios!H4*$F$12*365/1000000+G35*Scenarios!H11*$F$13*365/1000000+G36*Scenarios!H4*0.22*365/1000000))-MAX((((G34*Scenarios!H4*$F$12*365/1000000+G35*Scenarios!H11*$F$13*365/1000000+G36*Scenarios!H4*0.22*365/1000000)-G46*G37*365/1000000-$F$18*(G34*Scenarios!H4*$F$12*365/1000000+G35*Scenarios!H11*$F$13*365/1000000+G36*Scenarios!H4*0.22*365/1000000))-G52),0)*$B$7)-G56-$F$22*0.985^4*MAX(0.5,Scenarios!H4/90)-$F$24</f>
        <v>7.8209996254825951</v>
      </c>
      <c r="G121" s="71">
        <f>F121*1.025</f>
        <v>8.0165246161196588</v>
      </c>
      <c r="H121" s="72">
        <f>G121*1.02</f>
        <v>8.1768551084420515</v>
      </c>
    </row>
    <row r="122" spans="1:8" x14ac:dyDescent="0.3">
      <c r="A122" s="18"/>
      <c r="B122" s="26"/>
      <c r="C122" s="26"/>
      <c r="D122" s="26"/>
      <c r="E122" s="26"/>
      <c r="F122" s="26"/>
      <c r="G122" s="26"/>
      <c r="H122" s="25"/>
    </row>
    <row r="123" spans="1:8" x14ac:dyDescent="0.3">
      <c r="A123" s="18"/>
      <c r="B123" s="26"/>
      <c r="C123" s="26"/>
      <c r="D123" s="26"/>
      <c r="E123" s="26"/>
      <c r="F123" s="26"/>
      <c r="G123" s="26"/>
      <c r="H123" s="25"/>
    </row>
  </sheetData>
  <mergeCells count="1">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F19D3-696A-47BB-85F6-E5927D37188B}">
  <dimension ref="A1:H43"/>
  <sheetViews>
    <sheetView topLeftCell="A28" workbookViewId="0">
      <selection activeCell="G42" sqref="G42"/>
    </sheetView>
  </sheetViews>
  <sheetFormatPr defaultRowHeight="14.4" x14ac:dyDescent="0.3"/>
  <cols>
    <col min="1" max="1" width="37" customWidth="1"/>
    <col min="2" max="2" width="53.6640625" customWidth="1"/>
    <col min="3" max="8" width="13.88671875" customWidth="1"/>
  </cols>
  <sheetData>
    <row r="1" spans="1:8" x14ac:dyDescent="0.3">
      <c r="A1" s="5" t="s">
        <v>52</v>
      </c>
      <c r="B1" s="5"/>
      <c r="C1" s="5" t="s">
        <v>4</v>
      </c>
      <c r="D1" s="5" t="s">
        <v>5</v>
      </c>
      <c r="E1" s="5" t="s">
        <v>6</v>
      </c>
      <c r="F1" s="5" t="s">
        <v>7</v>
      </c>
      <c r="G1" s="5" t="s">
        <v>8</v>
      </c>
      <c r="H1" s="5" t="s">
        <v>9</v>
      </c>
    </row>
    <row r="2" spans="1:8" x14ac:dyDescent="0.3">
      <c r="A2" s="4" t="s">
        <v>0</v>
      </c>
      <c r="B2" s="4" t="s">
        <v>53</v>
      </c>
      <c r="C2" s="4"/>
      <c r="D2" s="4"/>
      <c r="E2" s="4"/>
      <c r="F2" s="4"/>
      <c r="G2" s="4"/>
      <c r="H2" s="4"/>
    </row>
    <row r="3" spans="1:8" x14ac:dyDescent="0.3">
      <c r="A3" t="s">
        <v>54</v>
      </c>
      <c r="B3" t="s">
        <v>59</v>
      </c>
      <c r="C3" s="7">
        <v>72</v>
      </c>
      <c r="D3" s="7">
        <v>90</v>
      </c>
      <c r="E3" s="7">
        <v>87.5</v>
      </c>
      <c r="F3" s="7">
        <v>85</v>
      </c>
      <c r="G3" s="7">
        <v>82.5</v>
      </c>
      <c r="H3" s="7">
        <v>80</v>
      </c>
    </row>
    <row r="4" spans="1:8" x14ac:dyDescent="0.3">
      <c r="A4" t="s">
        <v>55</v>
      </c>
      <c r="B4" t="s">
        <v>125</v>
      </c>
      <c r="C4" s="7">
        <v>75</v>
      </c>
      <c r="D4" s="7">
        <v>100</v>
      </c>
      <c r="E4" s="7">
        <v>97</v>
      </c>
      <c r="F4" s="7">
        <v>95</v>
      </c>
      <c r="G4" s="7">
        <v>92</v>
      </c>
      <c r="H4" s="7">
        <v>90</v>
      </c>
    </row>
    <row r="5" spans="1:8" x14ac:dyDescent="0.3">
      <c r="A5" t="s">
        <v>56</v>
      </c>
      <c r="B5" t="s">
        <v>60</v>
      </c>
      <c r="C5" s="7">
        <v>60</v>
      </c>
      <c r="D5" s="7">
        <v>55</v>
      </c>
      <c r="E5" s="7">
        <v>55</v>
      </c>
      <c r="F5" s="7">
        <v>58</v>
      </c>
      <c r="G5" s="7">
        <v>60</v>
      </c>
      <c r="H5" s="7">
        <v>62</v>
      </c>
    </row>
    <row r="6" spans="1:8" x14ac:dyDescent="0.3">
      <c r="A6" t="s">
        <v>127</v>
      </c>
      <c r="B6" t="s">
        <v>128</v>
      </c>
      <c r="C6" s="7">
        <v>90</v>
      </c>
      <c r="D6" s="7">
        <v>95</v>
      </c>
      <c r="E6" s="7">
        <v>93</v>
      </c>
      <c r="F6" s="7">
        <v>91</v>
      </c>
      <c r="G6" s="7">
        <v>88</v>
      </c>
      <c r="H6" s="7">
        <v>85</v>
      </c>
    </row>
    <row r="8" spans="1:8" x14ac:dyDescent="0.3">
      <c r="A8" s="5" t="s">
        <v>57</v>
      </c>
      <c r="B8" s="5"/>
      <c r="C8" s="5" t="s">
        <v>4</v>
      </c>
      <c r="D8" s="5" t="s">
        <v>5</v>
      </c>
      <c r="E8" s="5" t="s">
        <v>6</v>
      </c>
      <c r="F8" s="5" t="s">
        <v>7</v>
      </c>
      <c r="G8" s="5" t="s">
        <v>8</v>
      </c>
      <c r="H8" s="5" t="s">
        <v>9</v>
      </c>
    </row>
    <row r="9" spans="1:8" x14ac:dyDescent="0.3">
      <c r="A9" s="4" t="s">
        <v>0</v>
      </c>
      <c r="B9" s="4" t="s">
        <v>53</v>
      </c>
      <c r="C9" s="4"/>
      <c r="D9" s="4"/>
      <c r="E9" s="4"/>
      <c r="F9" s="4"/>
      <c r="G9" s="4"/>
      <c r="H9" s="4"/>
    </row>
    <row r="10" spans="1:8" x14ac:dyDescent="0.3">
      <c r="A10" t="s">
        <v>54</v>
      </c>
      <c r="B10" t="s">
        <v>61</v>
      </c>
      <c r="C10" s="7">
        <v>2.8</v>
      </c>
      <c r="D10" s="7">
        <v>2.6</v>
      </c>
      <c r="E10" s="7">
        <v>2.7250000000000001</v>
      </c>
      <c r="F10" s="7">
        <v>2.85</v>
      </c>
      <c r="G10" s="7">
        <v>2.9750000000000001</v>
      </c>
      <c r="H10" s="7">
        <v>3.1</v>
      </c>
    </row>
    <row r="11" spans="1:8" x14ac:dyDescent="0.3">
      <c r="A11" t="s">
        <v>55</v>
      </c>
      <c r="B11" t="s">
        <v>126</v>
      </c>
      <c r="C11" s="7">
        <v>2.8</v>
      </c>
      <c r="D11" s="7">
        <v>3.2</v>
      </c>
      <c r="E11" s="7">
        <v>3.5</v>
      </c>
      <c r="F11" s="7">
        <v>3.6</v>
      </c>
      <c r="G11" s="7">
        <v>3.5</v>
      </c>
      <c r="H11" s="7">
        <v>3.4</v>
      </c>
    </row>
    <row r="12" spans="1:8" x14ac:dyDescent="0.3">
      <c r="A12" t="s">
        <v>56</v>
      </c>
      <c r="B12" t="s">
        <v>58</v>
      </c>
      <c r="C12" s="7">
        <v>2.8</v>
      </c>
      <c r="D12" s="7">
        <v>2.2000000000000002</v>
      </c>
      <c r="E12" s="7">
        <v>2.1</v>
      </c>
      <c r="F12" s="7">
        <v>2.2000000000000002</v>
      </c>
      <c r="G12" s="7">
        <v>2.2999999999999998</v>
      </c>
      <c r="H12" s="7">
        <v>2.4</v>
      </c>
    </row>
    <row r="13" spans="1:8" x14ac:dyDescent="0.3">
      <c r="A13" t="s">
        <v>127</v>
      </c>
      <c r="B13" t="s">
        <v>129</v>
      </c>
      <c r="C13" s="7">
        <v>2.8</v>
      </c>
      <c r="D13" s="7">
        <v>3</v>
      </c>
      <c r="E13" s="7">
        <v>3.1</v>
      </c>
      <c r="F13" s="7">
        <v>3.2</v>
      </c>
      <c r="G13" s="7">
        <v>3.15</v>
      </c>
      <c r="H13" s="7">
        <v>3.1</v>
      </c>
    </row>
    <row r="15" spans="1:8" x14ac:dyDescent="0.3">
      <c r="A15" s="5" t="s">
        <v>62</v>
      </c>
      <c r="B15" s="5"/>
    </row>
    <row r="16" spans="1:8" x14ac:dyDescent="0.3">
      <c r="A16" s="4" t="s">
        <v>0</v>
      </c>
      <c r="B16" s="4" t="s">
        <v>45</v>
      </c>
    </row>
    <row r="17" spans="1:8" x14ac:dyDescent="0.3">
      <c r="A17" t="s">
        <v>54</v>
      </c>
      <c r="B17" s="8">
        <v>0.45</v>
      </c>
    </row>
    <row r="18" spans="1:8" x14ac:dyDescent="0.3">
      <c r="A18" t="s">
        <v>55</v>
      </c>
      <c r="B18" s="8">
        <v>0.2</v>
      </c>
    </row>
    <row r="19" spans="1:8" x14ac:dyDescent="0.3">
      <c r="A19" t="s">
        <v>56</v>
      </c>
      <c r="B19" s="8">
        <v>0.2</v>
      </c>
    </row>
    <row r="20" spans="1:8" x14ac:dyDescent="0.3">
      <c r="A20" t="s">
        <v>127</v>
      </c>
      <c r="B20" s="8">
        <v>0.15</v>
      </c>
    </row>
    <row r="21" spans="1:8" x14ac:dyDescent="0.3">
      <c r="A21" t="s">
        <v>63</v>
      </c>
      <c r="B21" s="9">
        <f>SUM(B17:B20)</f>
        <v>1</v>
      </c>
    </row>
    <row r="23" spans="1:8" x14ac:dyDescent="0.3">
      <c r="A23" s="5" t="s">
        <v>64</v>
      </c>
      <c r="B23" s="5"/>
      <c r="C23" s="5"/>
      <c r="D23" s="5"/>
    </row>
    <row r="24" spans="1:8" x14ac:dyDescent="0.3">
      <c r="A24" t="s">
        <v>65</v>
      </c>
      <c r="B24" s="10">
        <v>0.223</v>
      </c>
      <c r="C24" t="s">
        <v>3</v>
      </c>
      <c r="D24" t="s">
        <v>66</v>
      </c>
    </row>
    <row r="25" spans="1:8" x14ac:dyDescent="0.3">
      <c r="A25" t="s">
        <v>67</v>
      </c>
      <c r="B25" s="10">
        <v>8.3000000000000004E-2</v>
      </c>
      <c r="C25" t="s">
        <v>3</v>
      </c>
      <c r="D25" t="s">
        <v>68</v>
      </c>
    </row>
    <row r="27" spans="1:8" x14ac:dyDescent="0.3">
      <c r="A27" s="5" t="s">
        <v>69</v>
      </c>
      <c r="B27" s="5"/>
      <c r="C27" s="5" t="s">
        <v>4</v>
      </c>
      <c r="D27" s="5" t="s">
        <v>5</v>
      </c>
      <c r="E27" s="5" t="s">
        <v>6</v>
      </c>
      <c r="F27" s="5" t="s">
        <v>7</v>
      </c>
      <c r="G27" s="5" t="s">
        <v>8</v>
      </c>
      <c r="H27" s="5" t="s">
        <v>9</v>
      </c>
    </row>
    <row r="28" spans="1:8" x14ac:dyDescent="0.3">
      <c r="A28" t="s">
        <v>70</v>
      </c>
      <c r="B28" t="s">
        <v>71</v>
      </c>
      <c r="C28" s="7">
        <v>22</v>
      </c>
      <c r="D28" s="7">
        <v>20</v>
      </c>
      <c r="E28" s="7">
        <v>20.399999999999999</v>
      </c>
      <c r="F28" s="7">
        <v>20.808</v>
      </c>
      <c r="G28" s="7">
        <v>21.224160000000001</v>
      </c>
      <c r="H28" s="7">
        <v>21.648643199999999</v>
      </c>
    </row>
    <row r="30" spans="1:8" x14ac:dyDescent="0.3">
      <c r="A30" s="13" t="s">
        <v>130</v>
      </c>
      <c r="B30" s="14"/>
      <c r="C30" s="14"/>
      <c r="D30" s="14"/>
      <c r="E30" s="14"/>
      <c r="F30" s="14"/>
      <c r="G30" s="14"/>
      <c r="H30" s="14"/>
    </row>
    <row r="31" spans="1:8" x14ac:dyDescent="0.3">
      <c r="A31" s="4" t="s">
        <v>131</v>
      </c>
      <c r="B31" s="4" t="s">
        <v>53</v>
      </c>
      <c r="C31" s="4" t="s">
        <v>4</v>
      </c>
      <c r="D31" s="4" t="s">
        <v>5</v>
      </c>
      <c r="E31" s="4" t="s">
        <v>6</v>
      </c>
      <c r="F31" s="4" t="s">
        <v>7</v>
      </c>
      <c r="G31" s="4" t="s">
        <v>8</v>
      </c>
      <c r="H31" s="4" t="s">
        <v>9</v>
      </c>
    </row>
    <row r="32" spans="1:8" x14ac:dyDescent="0.3">
      <c r="A32" t="s">
        <v>132</v>
      </c>
      <c r="B32" t="s">
        <v>133</v>
      </c>
      <c r="C32">
        <v>90</v>
      </c>
      <c r="D32">
        <v>95</v>
      </c>
      <c r="E32">
        <f>E3</f>
        <v>87.5</v>
      </c>
      <c r="F32">
        <f>F3</f>
        <v>85</v>
      </c>
      <c r="G32">
        <f>G3</f>
        <v>82.5</v>
      </c>
      <c r="H32">
        <f>H3</f>
        <v>80</v>
      </c>
    </row>
    <row r="33" spans="1:8" x14ac:dyDescent="0.3">
      <c r="A33" t="s">
        <v>134</v>
      </c>
      <c r="B33" t="s">
        <v>135</v>
      </c>
      <c r="C33">
        <f t="shared" ref="C33:H33" si="0">C6</f>
        <v>90</v>
      </c>
      <c r="D33">
        <f t="shared" si="0"/>
        <v>95</v>
      </c>
      <c r="E33">
        <f t="shared" si="0"/>
        <v>93</v>
      </c>
      <c r="F33">
        <f t="shared" si="0"/>
        <v>91</v>
      </c>
      <c r="G33">
        <f t="shared" si="0"/>
        <v>88</v>
      </c>
      <c r="H33">
        <f t="shared" si="0"/>
        <v>85</v>
      </c>
    </row>
    <row r="34" spans="1:8" x14ac:dyDescent="0.3">
      <c r="A34" t="s">
        <v>54</v>
      </c>
      <c r="B34" t="s">
        <v>136</v>
      </c>
      <c r="C34">
        <f t="shared" ref="C34:H34" si="1">C3</f>
        <v>72</v>
      </c>
      <c r="D34">
        <f t="shared" si="1"/>
        <v>90</v>
      </c>
      <c r="E34">
        <f t="shared" si="1"/>
        <v>87.5</v>
      </c>
      <c r="F34">
        <f t="shared" si="1"/>
        <v>85</v>
      </c>
      <c r="G34">
        <f t="shared" si="1"/>
        <v>82.5</v>
      </c>
      <c r="H34">
        <f t="shared" si="1"/>
        <v>80</v>
      </c>
    </row>
    <row r="36" spans="1:8" x14ac:dyDescent="0.3">
      <c r="A36" s="1" t="s">
        <v>137</v>
      </c>
      <c r="B36" t="s">
        <v>138</v>
      </c>
      <c r="C36">
        <f t="shared" ref="C36:H36" si="2">C10</f>
        <v>2.8</v>
      </c>
      <c r="D36">
        <f t="shared" si="2"/>
        <v>2.6</v>
      </c>
      <c r="E36">
        <f t="shared" si="2"/>
        <v>2.7250000000000001</v>
      </c>
      <c r="F36">
        <f t="shared" si="2"/>
        <v>2.85</v>
      </c>
      <c r="G36">
        <f t="shared" si="2"/>
        <v>2.9750000000000001</v>
      </c>
      <c r="H36">
        <f t="shared" si="2"/>
        <v>3.1</v>
      </c>
    </row>
    <row r="37" spans="1:8" x14ac:dyDescent="0.3">
      <c r="A37" s="1" t="s">
        <v>139</v>
      </c>
      <c r="B37" t="s">
        <v>140</v>
      </c>
      <c r="C37">
        <f t="shared" ref="C37:H37" si="3">C13</f>
        <v>2.8</v>
      </c>
      <c r="D37">
        <f t="shared" si="3"/>
        <v>3</v>
      </c>
      <c r="E37">
        <f t="shared" si="3"/>
        <v>3.1</v>
      </c>
      <c r="F37">
        <f t="shared" si="3"/>
        <v>3.2</v>
      </c>
      <c r="G37">
        <f t="shared" si="3"/>
        <v>3.15</v>
      </c>
      <c r="H37">
        <f t="shared" si="3"/>
        <v>3.1</v>
      </c>
    </row>
    <row r="39" spans="1:8" x14ac:dyDescent="0.3">
      <c r="A39" s="2" t="s">
        <v>141</v>
      </c>
      <c r="B39" s="11"/>
      <c r="C39" s="11"/>
      <c r="D39" s="11"/>
      <c r="E39" s="11"/>
      <c r="F39" s="11"/>
      <c r="G39" s="11"/>
      <c r="H39" s="11"/>
    </row>
    <row r="40" spans="1:8" x14ac:dyDescent="0.3">
      <c r="A40" t="s">
        <v>142</v>
      </c>
      <c r="C40" s="3">
        <f t="shared" ref="C40:H40" si="4">C32-C34</f>
        <v>18</v>
      </c>
      <c r="D40" s="3">
        <f t="shared" si="4"/>
        <v>5</v>
      </c>
      <c r="E40" s="3">
        <f t="shared" si="4"/>
        <v>0</v>
      </c>
      <c r="F40" s="3">
        <f t="shared" si="4"/>
        <v>0</v>
      </c>
      <c r="G40" s="3">
        <f t="shared" si="4"/>
        <v>0</v>
      </c>
      <c r="H40" s="3">
        <f t="shared" si="4"/>
        <v>0</v>
      </c>
    </row>
    <row r="41" spans="1:8" x14ac:dyDescent="0.3">
      <c r="A41" t="s">
        <v>143</v>
      </c>
      <c r="C41" s="3">
        <f t="shared" ref="C41:H41" si="5">C33-C34</f>
        <v>18</v>
      </c>
      <c r="D41" s="3">
        <f t="shared" si="5"/>
        <v>5</v>
      </c>
      <c r="E41" s="3">
        <f t="shared" si="5"/>
        <v>5.5</v>
      </c>
      <c r="F41" s="3">
        <f t="shared" si="5"/>
        <v>6</v>
      </c>
      <c r="G41" s="3">
        <f t="shared" si="5"/>
        <v>5.5</v>
      </c>
      <c r="H41" s="3">
        <f t="shared" si="5"/>
        <v>5</v>
      </c>
    </row>
    <row r="42" spans="1:8" x14ac:dyDescent="0.3">
      <c r="A42" t="s">
        <v>144</v>
      </c>
      <c r="D42" s="12">
        <f t="shared" ref="D42:H43" si="6">D40*$B$24</f>
        <v>1.115</v>
      </c>
      <c r="E42" s="12">
        <f t="shared" si="6"/>
        <v>0</v>
      </c>
      <c r="F42" s="12">
        <f t="shared" si="6"/>
        <v>0</v>
      </c>
      <c r="G42" s="12">
        <f t="shared" si="6"/>
        <v>0</v>
      </c>
      <c r="H42" s="12">
        <f t="shared" si="6"/>
        <v>0</v>
      </c>
    </row>
    <row r="43" spans="1:8" x14ac:dyDescent="0.3">
      <c r="A43" t="s">
        <v>145</v>
      </c>
      <c r="D43" s="12">
        <f t="shared" si="6"/>
        <v>1.115</v>
      </c>
      <c r="E43" s="12">
        <f t="shared" si="6"/>
        <v>1.2264999999999999</v>
      </c>
      <c r="F43" s="12">
        <f t="shared" si="6"/>
        <v>1.3380000000000001</v>
      </c>
      <c r="G43" s="12">
        <f t="shared" si="6"/>
        <v>1.2264999999999999</v>
      </c>
      <c r="H43" s="12">
        <f t="shared" si="6"/>
        <v>1.115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Dashboard</vt:lpstr>
      <vt:lpstr>Model</vt:lpstr>
      <vt:lpstr>Scenarios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Chirayu Parikh</dc:creator>
  <cp:lastModifiedBy>Chirayu Parikh</cp:lastModifiedBy>
  <dcterms:created xsi:type="dcterms:W3CDTF">2026-03-05T10:43:45Z</dcterms:created>
  <dcterms:modified xsi:type="dcterms:W3CDTF">2026-03-21T15:36:22Z</dcterms:modified>
</cp:coreProperties>
</file>